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265" tabRatio="668" activeTab="0"/>
  </bookViews>
  <sheets>
    <sheet name="110.12十五歲以上現住人口教育程度" sheetId="1" r:id="rId1"/>
    <sheet name="109.12十五歲以上現住人口教育程度" sheetId="2" r:id="rId2"/>
    <sheet name="108.12十五歲以上現住人口教育程度" sheetId="3" r:id="rId3"/>
    <sheet name="107.12十五歲以上現住人口教育程度" sheetId="4" r:id="rId4"/>
    <sheet name="106.12十五歲以上現住人口教育程度 " sheetId="5" r:id="rId5"/>
    <sheet name="105.12十五歲以上現住人口教育程度" sheetId="6" r:id="rId6"/>
    <sheet name="104.12十五歲以上現住人口教育程度" sheetId="7" r:id="rId7"/>
    <sheet name="103.12十五歲以上現住人口教育程度" sheetId="8" r:id="rId8"/>
    <sheet name="102.12十五歲以上現住人口教育程度" sheetId="9" r:id="rId9"/>
    <sheet name="101.12十五歲以上現住人口教育程度" sheetId="10" r:id="rId10"/>
    <sheet name="100.12年齡結構" sheetId="11" r:id="rId11"/>
    <sheet name="99.12十五歲以上現住人口教育程度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\a">#REF!</definedName>
    <definedName name="\b">#REF!</definedName>
    <definedName name="_Fill" hidden="1">#REF!</definedName>
    <definedName name="_Order1" hidden="1">0</definedName>
    <definedName name="_Order2" hidden="1">0</definedName>
    <definedName name="NAME">#REF!</definedName>
    <definedName name="P_1">#REF!</definedName>
    <definedName name="P_11">#REF!</definedName>
    <definedName name="P_2">#REF!</definedName>
    <definedName name="PRINT_AREA_MI">#REF!</definedName>
    <definedName name="rd_rf_f_97y_9802_data">#REF!</definedName>
    <definedName name="rd_rg_f_84y_97y_data">#REF!</definedName>
    <definedName name="rd_rg_f_9805_data">#REF!</definedName>
    <definedName name="rd_rg_f_9806_data">#REF!</definedName>
    <definedName name="rd_rg_f_9807_data">#REF!</definedName>
    <definedName name="rd_rg_f_9808_data">#REF!</definedName>
    <definedName name="rd_rg_f_98y_9803_data">#REF!</definedName>
    <definedName name="rd_rg_f_98y_9804_data">#REF!</definedName>
    <definedName name="rd_rg_q_84y_97y_data">#REF!</definedName>
    <definedName name="rd_rg_q_97y_9802_data">#REF!</definedName>
    <definedName name="rd_rg_q_9805_data">#REF!</definedName>
    <definedName name="rd_rg_q_9806_data">#REF!</definedName>
    <definedName name="rd_rg_q_9807_data">#REF!</definedName>
    <definedName name="rd_rg_q_9808_data">#REF!</definedName>
    <definedName name="rd_rg_q_98y_9803_data">#REF!</definedName>
    <definedName name="rd_rg_q_98y_9804_data">#REF!</definedName>
    <definedName name="rd_rg_q9607">#REF!</definedName>
    <definedName name="rd_t_84y_97y_data">#REF!</definedName>
    <definedName name="rd_t_97y_9802_data">#REF!</definedName>
    <definedName name="rd_t_9805_data">#REF!</definedName>
    <definedName name="rd_t_9806_data">#REF!</definedName>
    <definedName name="rd_t_9807_data">#REF!</definedName>
    <definedName name="rd_t_9808_data">#REF!</definedName>
    <definedName name="rd_t_98y_9803_data">#REF!</definedName>
    <definedName name="rd_t_98y_9804_data">#REF!</definedName>
    <definedName name="rd_t9607">#REF!</definedName>
    <definedName name="月底人口數">#REF!</definedName>
    <definedName name="出生">#REF!</definedName>
    <definedName name="死亡">#REF!</definedName>
    <definedName name="結婚">#REF!</definedName>
    <definedName name="鄰數戶數">#REF!</definedName>
    <definedName name="離婚">#REF!</definedName>
  </definedNames>
  <calcPr fullCalcOnLoad="1"/>
</workbook>
</file>

<file path=xl/sharedStrings.xml><?xml version="1.0" encoding="utf-8"?>
<sst xmlns="http://schemas.openxmlformats.org/spreadsheetml/2006/main" count="600" uniqueCount="63">
  <si>
    <t>高等教育</t>
  </si>
  <si>
    <t>高中職</t>
  </si>
  <si>
    <t>初(國)中</t>
  </si>
  <si>
    <t>國小</t>
  </si>
  <si>
    <t>自修</t>
  </si>
  <si>
    <t>不識字</t>
  </si>
  <si>
    <t>合計</t>
  </si>
  <si>
    <t>研究所</t>
  </si>
  <si>
    <t>大學</t>
  </si>
  <si>
    <t>專科</t>
  </si>
  <si>
    <t>高中</t>
  </si>
  <si>
    <t>高職</t>
  </si>
  <si>
    <t>初職</t>
  </si>
  <si>
    <t>博士</t>
  </si>
  <si>
    <t>碩士</t>
  </si>
  <si>
    <t>單位：人</t>
  </si>
  <si>
    <t xml:space="preserve">          中華民國99年12月底</t>
  </si>
  <si>
    <t>教育程度</t>
  </si>
  <si>
    <t>年度</t>
  </si>
  <si>
    <t>15~19歲</t>
  </si>
  <si>
    <t>總計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</si>
  <si>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</si>
  <si>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</si>
  <si>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</si>
  <si>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</si>
  <si>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</si>
  <si>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</si>
  <si>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</si>
  <si>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</si>
  <si>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</si>
  <si>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65歲以上</t>
  </si>
  <si>
    <t xml:space="preserve">          中華民國100年12月底</t>
  </si>
  <si>
    <t xml:space="preserve">說明：依據年終人口靜態統計報表之5 資料編製  </t>
  </si>
  <si>
    <t xml:space="preserve">          中華民國102年12月底</t>
  </si>
  <si>
    <t xml:space="preserve">          中華民國101年12月底</t>
  </si>
  <si>
    <t>臺南市官田區十五歲以上現住人口教育程度分</t>
  </si>
  <si>
    <t>臺南市官田區戶政事務所   編製</t>
  </si>
  <si>
    <t>博士畢</t>
  </si>
  <si>
    <t>碩士畢</t>
  </si>
  <si>
    <t>大學畢</t>
  </si>
  <si>
    <t>專科畢</t>
  </si>
  <si>
    <t>高中畢</t>
  </si>
  <si>
    <t>國小畢</t>
  </si>
  <si>
    <t>國中畢</t>
  </si>
  <si>
    <t>總計</t>
  </si>
  <si>
    <t>計</t>
  </si>
  <si>
    <t>男</t>
  </si>
  <si>
    <t>女</t>
  </si>
  <si>
    <t>教育程度</t>
  </si>
  <si>
    <t>性別</t>
  </si>
  <si>
    <t xml:space="preserve"> 中華民國103年12月底</t>
  </si>
  <si>
    <t xml:space="preserve">說明：依據年終人口靜態統計報表之2 資料編製  </t>
  </si>
  <si>
    <t xml:space="preserve">說明：依據年終人口靜態統計報表之2 資料編製  </t>
  </si>
  <si>
    <t xml:space="preserve"> 中華民國104年12月底</t>
  </si>
  <si>
    <t xml:space="preserve"> 中華民國105年12月底</t>
  </si>
  <si>
    <t xml:space="preserve"> 中華民國106年12月底</t>
  </si>
  <si>
    <t>臺南市官田戶政事務所官田辦公處   編製</t>
  </si>
  <si>
    <t xml:space="preserve"> 中華民國107年12月底</t>
  </si>
  <si>
    <t xml:space="preserve"> </t>
  </si>
  <si>
    <t xml:space="preserve"> 中華民國108年12月底</t>
  </si>
  <si>
    <t xml:space="preserve"> 中華民國109年12月底</t>
  </si>
  <si>
    <t>國小畢
以  下</t>
  </si>
  <si>
    <t xml:space="preserve"> 中華民國110年12月底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</si>
</sst>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;&quot;–&quot;#,##0;&quot;—&quot;"/>
    <numFmt numFmtId="182" formatCode="#,##0.00;&quot;–&quot;#,##0.00;&quot;—&quot;"/>
    <numFmt numFmtId="183" formatCode="&quot;   &quot;* #,##0;&quot;－&quot;* #,##0;&quot;—&quot;;"/>
    <numFmt numFmtId="184" formatCode="&quot;   &quot;* #,##0.00;&quot;－&quot;* #,##0.00;&quot;—&quot;;"/>
    <numFmt numFmtId="185" formatCode="&quot;   &quot;* #,##0.00;&quot;－&quot;* #,##0.00;&quot;—&quot;"/>
    <numFmt numFmtId="186" formatCode="&quot;   &quot;* #,##0;&quot;－    &quot;\ #,##0;&quot;—&quot;"/>
    <numFmt numFmtId="187" formatCode="_(* #,##0.00_);_(* \(#,##0.00\);_(* &quot;-&quot;_);_(@_)"/>
    <numFmt numFmtId="188" formatCode="#,##0.0000_);\(#,##0.0000\)"/>
    <numFmt numFmtId="189" formatCode="_(* #,##0_);_(* \(#,##0\);_(* &quot;-&quot;??_);_(@_)"/>
    <numFmt numFmtId="190" formatCode="0.00_);[Red]\(0.00\)"/>
    <numFmt numFmtId="191" formatCode="0.0000_);[Red]\(0.0000\)"/>
    <numFmt numFmtId="192" formatCode="&quot;   &quot;* #,##0.0;&quot;－&quot;* #,##0.0;&quot;—&quot;;"/>
    <numFmt numFmtId="193" formatCode="&quot;＋&quot;* #,##0.00;&quot;－&quot;* #,##0.00;&quot;—&quot;;"/>
    <numFmt numFmtId="194" formatCode="_-* #,##0.00_-;\-* #,##0.00_-;_-* &quot;-&quot;_-;_-@_-"/>
    <numFmt numFmtId="195" formatCode="_-* #,##0.0_-;\-* #,##0.0_-;_-* &quot;-&quot;?_-;_-@_-"/>
    <numFmt numFmtId="196" formatCode="0.00_ "/>
    <numFmt numFmtId="197" formatCode="0.0000"/>
    <numFmt numFmtId="198" formatCode="&quot;   &quot;* #,##0;&quot;－&quot;* #,##0;&quot;—&quot;"/>
    <numFmt numFmtId="199" formatCode="_-* #,##0.00_-;\-* #,##0.00_-;_-* &quot;-&quot;?_-;_-@_-"/>
    <numFmt numFmtId="200" formatCode="0.000000_ "/>
    <numFmt numFmtId="201" formatCode="[$-409]yyyy/m/d\ h:mm\ AM/PM;@"/>
    <numFmt numFmtId="202" formatCode="_-* #,##0.000000_-;\-* #,##0.000000_-;_-* &quot;-&quot;??_-;_-@_-"/>
    <numFmt numFmtId="203" formatCode="#,##0_ ;[Red]\-#,##0\ "/>
    <numFmt numFmtId="204" formatCode="&quot;   &quot;\ #,##0.00;&quot;－  &quot;\ #,##0.00;&quot;—&quot;;"/>
    <numFmt numFmtId="205" formatCode="&quot;   &quot;* #,##0;&quot;－   &quot;\ #,##0;&quot;—&quot;"/>
    <numFmt numFmtId="206" formatCode="&quot;   &quot;* #,##0;&quot;－ &quot;\ #,##0;&quot;—&quot;"/>
    <numFmt numFmtId="207" formatCode="&quot;   &quot;* #,##0;&quot;－     &quot;\ #,##0;&quot;—&quot;"/>
    <numFmt numFmtId="208" formatCode="#,##0;\-#,##0;&quot;—&quot;"/>
    <numFmt numFmtId="209" formatCode="#,##0;&quot;－&quot;\ #,##0;&quot;—&quot;"/>
    <numFmt numFmtId="210" formatCode="#,##0;&quot;－&quot;\ * #,##0;&quot;—&quot;"/>
    <numFmt numFmtId="211" formatCode="#,##0.00;&quot;－  &quot;\ #,##0.00;&quot;—&quot;;"/>
    <numFmt numFmtId="212" formatCode="&quot;   &quot;* #,##0.0000;&quot;－&quot;* #,##0.0000;&quot;—&quot;;"/>
    <numFmt numFmtId="213" formatCode="#,##0.00;&quot;－&quot;\ #,##0.00;&quot;—&quot;;"/>
    <numFmt numFmtId="214" formatCode="#,##0.00;\-#,##0.00;&quot;—&quot;"/>
    <numFmt numFmtId="215" formatCode="#,##0.00;&quot;－ &quot;\ #,##0.00;&quot;—&quot;;"/>
    <numFmt numFmtId="216" formatCode="#,##0;&quot;－ &quot;\ #,##0;&quot;—&quot;"/>
    <numFmt numFmtId="217" formatCode="&quot;   &quot;* #,##0;&quot;－  &quot;\ #,##0;&quot;—&quot;"/>
    <numFmt numFmtId="218" formatCode="0.0"/>
    <numFmt numFmtId="219" formatCode="_-* #,##0.0_-;\-* #,##0.0_-;_-* &quot;-&quot;_-;_-@_-"/>
    <numFmt numFmtId="220" formatCode="&quot;   &quot;* #,##0.0;&quot;－&quot;* #,##0.0;&quot;—&quot;"/>
    <numFmt numFmtId="221" formatCode="#,##0;&quot; －&quot;\ #,##0;&quot;—&quot;"/>
    <numFmt numFmtId="222" formatCode="#,##0;&quot;－  &quot;\ #,##0;&quot;—&quot;"/>
    <numFmt numFmtId="223" formatCode="#,##0;&quot;－   &quot;\ #,##0;&quot;—&quot;"/>
    <numFmt numFmtId="224" formatCode="#,##0;&quot;－    &quot;\ #,##0;&quot;—&quot;"/>
    <numFmt numFmtId="225" formatCode="#,##0.00;&quot;－   &quot;\ #,##0.00;&quot;—&quot;;"/>
    <numFmt numFmtId="226" formatCode="&quot;   &quot;* #,##0;&quot;－&quot;\ #,##0;&quot;—&quot;"/>
    <numFmt numFmtId="227" formatCode="#,##0;\-#,##0;&quot;－&quot;"/>
    <numFmt numFmtId="228" formatCode="0_);[Red]\(0\)"/>
    <numFmt numFmtId="229" formatCode="_-* #,##0_-;\-* #,##0_-;_-* &quot;-&quot;??_-;_-@_-"/>
    <numFmt numFmtId="230" formatCode="#,##0_ "/>
    <numFmt numFmtId="231" formatCode="_(* #,##0.0_);_(* \(#,##0.0\);_(* &quot;-&quot;??_);_(@_)"/>
  </numFmts>
  <fonts count="5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b/>
      <sz val="12"/>
      <name val="標楷體"/>
      <family val="4"/>
    </font>
    <font>
      <sz val="14"/>
      <name val="新細明體"/>
      <family val="1"/>
    </font>
    <font>
      <b/>
      <sz val="16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14"/>
      <name val="標楷體"/>
      <family val="4"/>
    </font>
    <font>
      <sz val="12"/>
      <color indexed="10"/>
      <name val="標楷體"/>
      <family val="4"/>
    </font>
    <font>
      <sz val="14"/>
      <name val="標楷體"/>
      <family val="4"/>
    </font>
    <font>
      <sz val="14"/>
      <color indexed="10"/>
      <name val="標楷體"/>
      <family val="4"/>
    </font>
    <font>
      <sz val="12"/>
      <color indexed="10"/>
      <name val="Times New Roman"/>
      <family val="1"/>
    </font>
    <font>
      <b/>
      <sz val="12"/>
      <color indexed="10"/>
      <name val="標楷體"/>
      <family val="4"/>
    </font>
    <font>
      <b/>
      <sz val="14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9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9" fillId="0" borderId="0" xfId="35" applyFont="1" applyAlignment="1">
      <alignment horizontal="left"/>
      <protection/>
    </xf>
    <xf numFmtId="0" fontId="9" fillId="0" borderId="0" xfId="34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177" fontId="14" fillId="0" borderId="0" xfId="37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35" applyFont="1" applyBorder="1" applyAlignment="1">
      <alignment horizontal="left"/>
      <protection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28" fontId="9" fillId="0" borderId="12" xfId="33" applyNumberFormat="1" applyFont="1" applyBorder="1" applyAlignment="1">
      <alignment/>
      <protection/>
    </xf>
    <xf numFmtId="228" fontId="9" fillId="0" borderId="13" xfId="33" applyNumberFormat="1" applyFont="1" applyBorder="1" applyAlignment="1">
      <alignment/>
      <protection/>
    </xf>
    <xf numFmtId="228" fontId="9" fillId="0" borderId="12" xfId="36" applyNumberFormat="1" applyFont="1" applyBorder="1" applyAlignment="1">
      <alignment/>
    </xf>
    <xf numFmtId="228" fontId="9" fillId="0" borderId="13" xfId="36" applyNumberFormat="1" applyFont="1" applyBorder="1" applyAlignment="1">
      <alignment/>
    </xf>
    <xf numFmtId="228" fontId="9" fillId="0" borderId="12" xfId="36" applyNumberFormat="1" applyFont="1" applyBorder="1" applyAlignment="1">
      <alignment horizontal="right"/>
    </xf>
    <xf numFmtId="228" fontId="9" fillId="0" borderId="13" xfId="36" applyNumberFormat="1" applyFont="1" applyBorder="1" applyAlignment="1">
      <alignment horizontal="right"/>
    </xf>
    <xf numFmtId="177" fontId="20" fillId="0" borderId="0" xfId="37" applyFont="1" applyBorder="1" applyAlignment="1">
      <alignment vertical="center"/>
    </xf>
    <xf numFmtId="228" fontId="19" fillId="0" borderId="0" xfId="33" applyNumberFormat="1" applyFont="1" applyBorder="1" applyAlignment="1">
      <alignment/>
      <protection/>
    </xf>
    <xf numFmtId="228" fontId="19" fillId="0" borderId="16" xfId="33" applyNumberFormat="1" applyFont="1" applyBorder="1" applyAlignment="1">
      <alignment/>
      <protection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19" xfId="0" applyFont="1" applyBorder="1" applyAlignment="1">
      <alignment horizontal="center" vertical="center"/>
    </xf>
    <xf numFmtId="228" fontId="19" fillId="0" borderId="11" xfId="0" applyNumberFormat="1" applyFont="1" applyBorder="1" applyAlignment="1" applyProtection="1">
      <alignment horizontal="center" vertical="center"/>
      <protection locked="0"/>
    </xf>
    <xf numFmtId="228" fontId="19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177" fontId="14" fillId="0" borderId="0" xfId="37" applyFont="1" applyBorder="1" applyAlignment="1">
      <alignment horizontal="center" vertical="center"/>
    </xf>
    <xf numFmtId="177" fontId="14" fillId="0" borderId="0" xfId="37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2.10外籍與大陸配偶證件別及國籍別" xfId="33"/>
    <cellStyle name="一般_速報表" xfId="34"/>
    <cellStyle name="一般_結婚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貨幣[0]_Module4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ainan.gov.tw/Documents%20and%20Settings\Administrator\&#26700;&#38754;\&#33495;&#2664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ainan.gov.tw/Users\user\AppData\Local\Microsoft\Windows\Temporary%20Internet%20Files\Content.IE5\H3TJ6V9U\04&#32291;&#24066;&#21934;&#19968;&#24180;&#40801;103.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ainan.gov.tw/Documents%20and%20Settings\Administrator\&#26700;&#38754;\95-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ainan.gov.tw/0662\A.&#19978;&#32178;&#26376;&#22577;(&#21547;1&#31185;)\&#19978;&#32178;&#26376;&#22577;(99&#24180;)\9908\&#34920;&#20845;99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母體清冊"/>
      <sheetName val="Sheet2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單一年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年月別"/>
      <sheetName val="縣市別 "/>
      <sheetName val="資料分析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遷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S24" sqref="S24"/>
    </sheetView>
  </sheetViews>
  <sheetFormatPr defaultColWidth="9.00390625" defaultRowHeight="15.75"/>
  <cols>
    <col min="1" max="1" width="10.125" style="13" customWidth="1"/>
    <col min="2" max="2" width="5.875" style="11" customWidth="1"/>
    <col min="3" max="3" width="10.125" style="11" customWidth="1"/>
    <col min="4" max="13" width="8.75390625" style="13" customWidth="1"/>
    <col min="14" max="14" width="9.875" style="16" customWidth="1"/>
    <col min="15" max="16384" width="9.00390625" style="13" customWidth="1"/>
  </cols>
  <sheetData>
    <row r="1" spans="1:14" s="14" customFormat="1" ht="21" customHeight="1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s="14" customFormat="1" ht="21" customHeight="1">
      <c r="B2" s="9"/>
      <c r="C2" s="9"/>
      <c r="D2" s="9"/>
      <c r="E2" s="9"/>
      <c r="F2" s="54" t="s">
        <v>62</v>
      </c>
      <c r="G2" s="54"/>
      <c r="H2" s="54"/>
      <c r="I2" s="54"/>
      <c r="J2" s="54"/>
      <c r="K2" s="55" t="s">
        <v>15</v>
      </c>
      <c r="L2" s="55"/>
      <c r="N2" s="15"/>
    </row>
    <row r="3" spans="1:15" ht="18.75" customHeight="1">
      <c r="A3" s="33" t="s">
        <v>48</v>
      </c>
      <c r="B3" s="12" t="s">
        <v>49</v>
      </c>
      <c r="C3" s="12" t="s">
        <v>20</v>
      </c>
      <c r="D3" s="10" t="s">
        <v>19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27</v>
      </c>
      <c r="L3" s="10" t="s">
        <v>28</v>
      </c>
      <c r="M3" s="10" t="s">
        <v>29</v>
      </c>
      <c r="N3" s="30" t="s">
        <v>30</v>
      </c>
      <c r="O3" s="32"/>
    </row>
    <row r="4" spans="1:15" ht="15.75" customHeight="1">
      <c r="A4" s="56" t="s">
        <v>44</v>
      </c>
      <c r="B4" s="18" t="s">
        <v>45</v>
      </c>
      <c r="C4" s="21">
        <v>19194</v>
      </c>
      <c r="D4" s="21">
        <v>904</v>
      </c>
      <c r="E4" s="21">
        <v>1273</v>
      </c>
      <c r="F4" s="21">
        <v>1510</v>
      </c>
      <c r="G4" s="21">
        <v>1450</v>
      </c>
      <c r="H4" s="21">
        <v>1535</v>
      </c>
      <c r="I4" s="21">
        <v>1619</v>
      </c>
      <c r="J4" s="24">
        <v>1572</v>
      </c>
      <c r="K4" s="21">
        <v>1616</v>
      </c>
      <c r="L4" s="29">
        <v>1893</v>
      </c>
      <c r="M4" s="21">
        <v>1833</v>
      </c>
      <c r="N4" s="31">
        <v>3989</v>
      </c>
      <c r="O4" s="32"/>
    </row>
    <row r="5" spans="1:15" ht="15.75" customHeight="1">
      <c r="A5" s="56"/>
      <c r="B5" s="19" t="s">
        <v>46</v>
      </c>
      <c r="C5" s="22">
        <v>9746</v>
      </c>
      <c r="D5" s="22">
        <v>460</v>
      </c>
      <c r="E5" s="22">
        <v>654</v>
      </c>
      <c r="F5" s="22">
        <v>818</v>
      </c>
      <c r="G5" s="22">
        <v>808</v>
      </c>
      <c r="H5" s="22">
        <v>794</v>
      </c>
      <c r="I5" s="22">
        <v>812</v>
      </c>
      <c r="J5" s="25">
        <v>795</v>
      </c>
      <c r="K5" s="22">
        <v>812</v>
      </c>
      <c r="L5" s="27">
        <v>1013</v>
      </c>
      <c r="M5" s="22">
        <v>966</v>
      </c>
      <c r="N5" s="31">
        <v>1814</v>
      </c>
      <c r="O5" s="32"/>
    </row>
    <row r="6" spans="1:15" ht="15.75" customHeight="1">
      <c r="A6" s="56"/>
      <c r="B6" s="19" t="s">
        <v>47</v>
      </c>
      <c r="C6" s="22">
        <v>9448</v>
      </c>
      <c r="D6" s="22">
        <v>444</v>
      </c>
      <c r="E6" s="22">
        <v>619</v>
      </c>
      <c r="F6" s="22">
        <v>692</v>
      </c>
      <c r="G6" s="22">
        <v>642</v>
      </c>
      <c r="H6" s="22">
        <v>741</v>
      </c>
      <c r="I6" s="22">
        <v>807</v>
      </c>
      <c r="J6" s="25">
        <v>777</v>
      </c>
      <c r="K6" s="22">
        <v>804</v>
      </c>
      <c r="L6" s="27">
        <v>880</v>
      </c>
      <c r="M6" s="22">
        <v>867</v>
      </c>
      <c r="N6" s="31">
        <v>2175</v>
      </c>
      <c r="O6" s="32"/>
    </row>
    <row r="7" spans="1:15" ht="15.75" customHeight="1">
      <c r="A7" s="57" t="s">
        <v>37</v>
      </c>
      <c r="B7" s="19" t="s">
        <v>45</v>
      </c>
      <c r="C7" s="22">
        <v>29</v>
      </c>
      <c r="D7" s="22">
        <v>0</v>
      </c>
      <c r="E7" s="22">
        <v>0</v>
      </c>
      <c r="F7" s="22">
        <v>0</v>
      </c>
      <c r="G7" s="22">
        <v>3</v>
      </c>
      <c r="H7" s="22">
        <v>6</v>
      </c>
      <c r="I7" s="22">
        <v>6</v>
      </c>
      <c r="J7" s="25">
        <v>3</v>
      </c>
      <c r="K7" s="22">
        <v>2</v>
      </c>
      <c r="L7" s="27">
        <v>4</v>
      </c>
      <c r="M7" s="22">
        <v>5</v>
      </c>
      <c r="N7" s="31">
        <v>0</v>
      </c>
      <c r="O7" s="32"/>
    </row>
    <row r="8" spans="1:15" ht="15.75" customHeight="1">
      <c r="A8" s="57"/>
      <c r="B8" s="19" t="s">
        <v>46</v>
      </c>
      <c r="C8" s="22">
        <v>17</v>
      </c>
      <c r="D8" s="22">
        <v>0</v>
      </c>
      <c r="E8" s="22">
        <v>0</v>
      </c>
      <c r="F8" s="22">
        <v>0</v>
      </c>
      <c r="G8" s="22">
        <v>3</v>
      </c>
      <c r="H8" s="22">
        <v>5</v>
      </c>
      <c r="I8" s="22">
        <v>4</v>
      </c>
      <c r="J8" s="25">
        <v>1</v>
      </c>
      <c r="K8" s="22">
        <v>1</v>
      </c>
      <c r="L8" s="27">
        <v>2</v>
      </c>
      <c r="M8" s="22">
        <v>1</v>
      </c>
      <c r="N8" s="31">
        <v>0</v>
      </c>
      <c r="O8" s="32"/>
    </row>
    <row r="9" spans="1:15" ht="15.75" customHeight="1">
      <c r="A9" s="57"/>
      <c r="B9" s="19" t="s">
        <v>47</v>
      </c>
      <c r="C9" s="22">
        <v>12</v>
      </c>
      <c r="D9" s="22">
        <v>0</v>
      </c>
      <c r="E9" s="22">
        <v>0</v>
      </c>
      <c r="F9" s="22">
        <v>0</v>
      </c>
      <c r="G9" s="22">
        <v>0</v>
      </c>
      <c r="H9" s="22">
        <v>1</v>
      </c>
      <c r="I9" s="22">
        <v>2</v>
      </c>
      <c r="J9" s="25">
        <v>2</v>
      </c>
      <c r="K9" s="22">
        <v>1</v>
      </c>
      <c r="L9" s="27">
        <v>2</v>
      </c>
      <c r="M9" s="22">
        <v>4</v>
      </c>
      <c r="N9" s="31">
        <v>0</v>
      </c>
      <c r="O9" s="32"/>
    </row>
    <row r="10" spans="1:15" ht="15.75" customHeight="1">
      <c r="A10" s="57" t="s">
        <v>38</v>
      </c>
      <c r="B10" s="19" t="s">
        <v>45</v>
      </c>
      <c r="C10" s="22">
        <v>725</v>
      </c>
      <c r="D10" s="22">
        <v>0</v>
      </c>
      <c r="E10" s="22">
        <v>9</v>
      </c>
      <c r="F10" s="22">
        <v>118</v>
      </c>
      <c r="G10" s="22">
        <v>167</v>
      </c>
      <c r="H10" s="22">
        <v>135</v>
      </c>
      <c r="I10" s="22">
        <v>96</v>
      </c>
      <c r="J10" s="25">
        <v>72</v>
      </c>
      <c r="K10" s="22">
        <v>57</v>
      </c>
      <c r="L10" s="27">
        <v>40</v>
      </c>
      <c r="M10" s="22">
        <v>18</v>
      </c>
      <c r="N10" s="31">
        <v>13</v>
      </c>
      <c r="O10" s="32"/>
    </row>
    <row r="11" spans="1:15" ht="15.75" customHeight="1">
      <c r="A11" s="57"/>
      <c r="B11" s="19" t="s">
        <v>46</v>
      </c>
      <c r="C11" s="22">
        <v>452</v>
      </c>
      <c r="D11" s="22">
        <v>0</v>
      </c>
      <c r="E11" s="22">
        <v>7</v>
      </c>
      <c r="F11" s="22">
        <v>69</v>
      </c>
      <c r="G11" s="22">
        <v>108</v>
      </c>
      <c r="H11" s="22">
        <v>80</v>
      </c>
      <c r="I11" s="22">
        <v>53</v>
      </c>
      <c r="J11" s="25">
        <v>47</v>
      </c>
      <c r="K11" s="22">
        <v>37</v>
      </c>
      <c r="L11" s="27">
        <v>27</v>
      </c>
      <c r="M11" s="22">
        <v>14</v>
      </c>
      <c r="N11" s="31">
        <v>10</v>
      </c>
      <c r="O11" s="32"/>
    </row>
    <row r="12" spans="1:15" ht="15.75" customHeight="1">
      <c r="A12" s="57"/>
      <c r="B12" s="19" t="s">
        <v>47</v>
      </c>
      <c r="C12" s="22">
        <v>273</v>
      </c>
      <c r="D12" s="22">
        <v>0</v>
      </c>
      <c r="E12" s="22">
        <v>2</v>
      </c>
      <c r="F12" s="22">
        <v>49</v>
      </c>
      <c r="G12" s="22">
        <v>59</v>
      </c>
      <c r="H12" s="22">
        <v>55</v>
      </c>
      <c r="I12" s="22">
        <v>43</v>
      </c>
      <c r="J12" s="25">
        <v>25</v>
      </c>
      <c r="K12" s="22">
        <v>20</v>
      </c>
      <c r="L12" s="27">
        <v>13</v>
      </c>
      <c r="M12" s="22">
        <v>4</v>
      </c>
      <c r="N12" s="31">
        <v>3</v>
      </c>
      <c r="O12" s="32"/>
    </row>
    <row r="13" spans="1:15" ht="15.75" customHeight="1">
      <c r="A13" s="57" t="s">
        <v>39</v>
      </c>
      <c r="B13" s="19" t="s">
        <v>45</v>
      </c>
      <c r="C13" s="22">
        <v>3922</v>
      </c>
      <c r="D13" s="22">
        <v>0</v>
      </c>
      <c r="E13" s="22">
        <v>394</v>
      </c>
      <c r="F13" s="22">
        <v>928</v>
      </c>
      <c r="G13" s="22">
        <v>818</v>
      </c>
      <c r="H13" s="22">
        <v>614</v>
      </c>
      <c r="I13" s="22">
        <v>421</v>
      </c>
      <c r="J13" s="25">
        <v>267</v>
      </c>
      <c r="K13" s="22">
        <v>184</v>
      </c>
      <c r="L13" s="27">
        <v>124</v>
      </c>
      <c r="M13" s="22">
        <v>84</v>
      </c>
      <c r="N13" s="31">
        <v>88</v>
      </c>
      <c r="O13" s="32"/>
    </row>
    <row r="14" spans="1:15" ht="15.75" customHeight="1">
      <c r="A14" s="57"/>
      <c r="B14" s="19" t="s">
        <v>46</v>
      </c>
      <c r="C14" s="22">
        <v>2005</v>
      </c>
      <c r="D14" s="22">
        <v>0</v>
      </c>
      <c r="E14" s="22">
        <v>170</v>
      </c>
      <c r="F14" s="22">
        <v>460</v>
      </c>
      <c r="G14" s="22">
        <v>414</v>
      </c>
      <c r="H14" s="22">
        <v>308</v>
      </c>
      <c r="I14" s="22">
        <v>224</v>
      </c>
      <c r="J14" s="25">
        <v>130</v>
      </c>
      <c r="K14" s="22">
        <v>105</v>
      </c>
      <c r="L14" s="27">
        <v>72</v>
      </c>
      <c r="M14" s="22">
        <v>52</v>
      </c>
      <c r="N14" s="31">
        <v>70</v>
      </c>
      <c r="O14" s="32"/>
    </row>
    <row r="15" spans="1:15" ht="15.75" customHeight="1">
      <c r="A15" s="57"/>
      <c r="B15" s="19" t="s">
        <v>47</v>
      </c>
      <c r="C15" s="22">
        <v>1917</v>
      </c>
      <c r="D15" s="22">
        <v>0</v>
      </c>
      <c r="E15" s="22">
        <v>224</v>
      </c>
      <c r="F15" s="22">
        <v>468</v>
      </c>
      <c r="G15" s="22">
        <v>404</v>
      </c>
      <c r="H15" s="22">
        <v>306</v>
      </c>
      <c r="I15" s="22">
        <v>197</v>
      </c>
      <c r="J15" s="25">
        <v>137</v>
      </c>
      <c r="K15" s="22">
        <v>79</v>
      </c>
      <c r="L15" s="27">
        <v>52</v>
      </c>
      <c r="M15" s="22">
        <v>32</v>
      </c>
      <c r="N15" s="31">
        <v>18</v>
      </c>
      <c r="O15" s="32"/>
    </row>
    <row r="16" spans="1:15" ht="15.75" customHeight="1">
      <c r="A16" s="57" t="s">
        <v>40</v>
      </c>
      <c r="B16" s="19" t="s">
        <v>45</v>
      </c>
      <c r="C16" s="22">
        <v>1545</v>
      </c>
      <c r="D16" s="22">
        <v>0</v>
      </c>
      <c r="E16" s="22">
        <v>80</v>
      </c>
      <c r="F16" s="22">
        <v>69</v>
      </c>
      <c r="G16" s="22">
        <v>50</v>
      </c>
      <c r="H16" s="22">
        <v>114</v>
      </c>
      <c r="I16" s="22">
        <v>257</v>
      </c>
      <c r="J16" s="25">
        <v>304</v>
      </c>
      <c r="K16" s="22">
        <v>210</v>
      </c>
      <c r="L16" s="27">
        <v>172</v>
      </c>
      <c r="M16" s="22">
        <v>138</v>
      </c>
      <c r="N16" s="31">
        <v>151</v>
      </c>
      <c r="O16" s="32"/>
    </row>
    <row r="17" spans="1:15" ht="15.75" customHeight="1">
      <c r="A17" s="57"/>
      <c r="B17" s="19" t="s">
        <v>46</v>
      </c>
      <c r="C17" s="22">
        <v>916</v>
      </c>
      <c r="D17" s="22">
        <v>0</v>
      </c>
      <c r="E17" s="22">
        <v>35</v>
      </c>
      <c r="F17" s="22">
        <v>36</v>
      </c>
      <c r="G17" s="22">
        <v>33</v>
      </c>
      <c r="H17" s="22">
        <v>64</v>
      </c>
      <c r="I17" s="22">
        <v>119</v>
      </c>
      <c r="J17" s="25">
        <v>161</v>
      </c>
      <c r="K17" s="22">
        <v>116</v>
      </c>
      <c r="L17" s="27">
        <v>123</v>
      </c>
      <c r="M17" s="22">
        <v>107</v>
      </c>
      <c r="N17" s="31">
        <v>122</v>
      </c>
      <c r="O17" s="32"/>
    </row>
    <row r="18" spans="1:15" ht="15.75" customHeight="1">
      <c r="A18" s="57"/>
      <c r="B18" s="19" t="s">
        <v>47</v>
      </c>
      <c r="C18" s="22">
        <v>629</v>
      </c>
      <c r="D18" s="22">
        <v>0</v>
      </c>
      <c r="E18" s="22">
        <v>45</v>
      </c>
      <c r="F18" s="22">
        <v>33</v>
      </c>
      <c r="G18" s="22">
        <v>17</v>
      </c>
      <c r="H18" s="22">
        <v>50</v>
      </c>
      <c r="I18" s="22">
        <v>138</v>
      </c>
      <c r="J18" s="25">
        <v>143</v>
      </c>
      <c r="K18" s="22">
        <v>94</v>
      </c>
      <c r="L18" s="27">
        <v>49</v>
      </c>
      <c r="M18" s="22">
        <v>31</v>
      </c>
      <c r="N18" s="31">
        <v>29</v>
      </c>
      <c r="O18" s="32"/>
    </row>
    <row r="19" spans="1:15" ht="15.75" customHeight="1">
      <c r="A19" s="57" t="s">
        <v>41</v>
      </c>
      <c r="B19" s="19" t="s">
        <v>45</v>
      </c>
      <c r="C19" s="22">
        <v>6131</v>
      </c>
      <c r="D19" s="22">
        <v>259</v>
      </c>
      <c r="E19" s="22">
        <v>730</v>
      </c>
      <c r="F19" s="22">
        <v>355</v>
      </c>
      <c r="G19" s="22">
        <v>337</v>
      </c>
      <c r="H19" s="22">
        <v>449</v>
      </c>
      <c r="I19" s="22">
        <v>644</v>
      </c>
      <c r="J19" s="25">
        <v>653</v>
      </c>
      <c r="K19" s="22">
        <v>765</v>
      </c>
      <c r="L19" s="27">
        <v>807</v>
      </c>
      <c r="M19" s="22">
        <v>630</v>
      </c>
      <c r="N19" s="31">
        <v>502</v>
      </c>
      <c r="O19" s="32"/>
    </row>
    <row r="20" spans="1:15" ht="15.75" customHeight="1">
      <c r="A20" s="57"/>
      <c r="B20" s="19" t="s">
        <v>46</v>
      </c>
      <c r="C20" s="22">
        <v>3472</v>
      </c>
      <c r="D20" s="22">
        <v>132</v>
      </c>
      <c r="E20" s="22">
        <v>406</v>
      </c>
      <c r="F20" s="22">
        <v>230</v>
      </c>
      <c r="G20" s="22">
        <v>209</v>
      </c>
      <c r="H20" s="22">
        <v>242</v>
      </c>
      <c r="I20" s="22">
        <v>349</v>
      </c>
      <c r="J20" s="25">
        <v>322</v>
      </c>
      <c r="K20" s="22">
        <v>372</v>
      </c>
      <c r="L20" s="27">
        <v>441</v>
      </c>
      <c r="M20" s="22">
        <v>394</v>
      </c>
      <c r="N20" s="31">
        <v>375</v>
      </c>
      <c r="O20" s="32"/>
    </row>
    <row r="21" spans="1:15" ht="15.75" customHeight="1">
      <c r="A21" s="57"/>
      <c r="B21" s="19" t="s">
        <v>47</v>
      </c>
      <c r="C21" s="22">
        <v>2659</v>
      </c>
      <c r="D21" s="22">
        <v>127</v>
      </c>
      <c r="E21" s="22">
        <v>324</v>
      </c>
      <c r="F21" s="22">
        <v>125</v>
      </c>
      <c r="G21" s="22">
        <v>128</v>
      </c>
      <c r="H21" s="22">
        <v>207</v>
      </c>
      <c r="I21" s="22">
        <v>295</v>
      </c>
      <c r="J21" s="25">
        <v>331</v>
      </c>
      <c r="K21" s="22">
        <v>353</v>
      </c>
      <c r="L21" s="27">
        <v>366</v>
      </c>
      <c r="M21" s="22">
        <v>236</v>
      </c>
      <c r="N21" s="31">
        <v>127</v>
      </c>
      <c r="O21" s="32"/>
    </row>
    <row r="22" spans="1:15" ht="15.75" customHeight="1">
      <c r="A22" s="57" t="s">
        <v>43</v>
      </c>
      <c r="B22" s="19" t="s">
        <v>45</v>
      </c>
      <c r="C22" s="22">
        <v>3290</v>
      </c>
      <c r="D22" s="22">
        <v>595</v>
      </c>
      <c r="E22" s="22">
        <v>58</v>
      </c>
      <c r="F22" s="22">
        <v>39</v>
      </c>
      <c r="G22" s="22">
        <v>67</v>
      </c>
      <c r="H22" s="22">
        <v>185</v>
      </c>
      <c r="I22" s="22">
        <v>155</v>
      </c>
      <c r="J22" s="25">
        <v>234</v>
      </c>
      <c r="K22" s="22">
        <v>354</v>
      </c>
      <c r="L22" s="27">
        <v>594</v>
      </c>
      <c r="M22" s="22">
        <v>566</v>
      </c>
      <c r="N22" s="31">
        <v>443</v>
      </c>
      <c r="O22" s="32"/>
    </row>
    <row r="23" spans="1:15" ht="15.75" customHeight="1">
      <c r="A23" s="57"/>
      <c r="B23" s="19" t="s">
        <v>46</v>
      </c>
      <c r="C23" s="22">
        <v>1701</v>
      </c>
      <c r="D23" s="22">
        <v>300</v>
      </c>
      <c r="E23" s="22">
        <v>34</v>
      </c>
      <c r="F23" s="22">
        <v>23</v>
      </c>
      <c r="G23" s="22">
        <v>41</v>
      </c>
      <c r="H23" s="22">
        <v>95</v>
      </c>
      <c r="I23" s="22">
        <v>62</v>
      </c>
      <c r="J23" s="25">
        <v>123</v>
      </c>
      <c r="K23" s="22">
        <v>166</v>
      </c>
      <c r="L23" s="27">
        <v>309</v>
      </c>
      <c r="M23" s="22">
        <v>291</v>
      </c>
      <c r="N23" s="31">
        <v>257</v>
      </c>
      <c r="O23" s="32"/>
    </row>
    <row r="24" spans="1:15" ht="15.75" customHeight="1">
      <c r="A24" s="57"/>
      <c r="B24" s="19" t="s">
        <v>47</v>
      </c>
      <c r="C24" s="22">
        <v>1589</v>
      </c>
      <c r="D24" s="22">
        <v>295</v>
      </c>
      <c r="E24" s="22">
        <v>24</v>
      </c>
      <c r="F24" s="22">
        <v>16</v>
      </c>
      <c r="G24" s="22">
        <v>26</v>
      </c>
      <c r="H24" s="22">
        <v>90</v>
      </c>
      <c r="I24" s="22">
        <v>93</v>
      </c>
      <c r="J24" s="25">
        <v>111</v>
      </c>
      <c r="K24" s="22">
        <v>188</v>
      </c>
      <c r="L24" s="27">
        <v>285</v>
      </c>
      <c r="M24" s="22">
        <v>275</v>
      </c>
      <c r="N24" s="31">
        <v>186</v>
      </c>
      <c r="O24" s="32"/>
    </row>
    <row r="25" spans="1:15" ht="15.75" customHeight="1">
      <c r="A25" s="58" t="s">
        <v>61</v>
      </c>
      <c r="B25" s="19" t="s">
        <v>45</v>
      </c>
      <c r="C25" s="22">
        <v>3552</v>
      </c>
      <c r="D25" s="22">
        <v>50</v>
      </c>
      <c r="E25" s="22">
        <v>2</v>
      </c>
      <c r="F25" s="22">
        <v>1</v>
      </c>
      <c r="G25" s="22">
        <v>8</v>
      </c>
      <c r="H25" s="22">
        <v>32</v>
      </c>
      <c r="I25" s="22">
        <v>40</v>
      </c>
      <c r="J25" s="25">
        <v>39</v>
      </c>
      <c r="K25" s="22">
        <v>44</v>
      </c>
      <c r="L25" s="27">
        <v>152</v>
      </c>
      <c r="M25" s="22">
        <v>392</v>
      </c>
      <c r="N25" s="31">
        <v>2792</v>
      </c>
      <c r="O25" s="32"/>
    </row>
    <row r="26" spans="1:15" ht="15.75" customHeight="1">
      <c r="A26" s="57"/>
      <c r="B26" s="19" t="s">
        <v>46</v>
      </c>
      <c r="C26" s="22">
        <v>1183</v>
      </c>
      <c r="D26" s="22">
        <v>28</v>
      </c>
      <c r="E26" s="22">
        <v>2</v>
      </c>
      <c r="F26" s="22">
        <v>0</v>
      </c>
      <c r="G26" s="22">
        <v>0</v>
      </c>
      <c r="H26" s="22">
        <v>0</v>
      </c>
      <c r="I26" s="22">
        <v>1</v>
      </c>
      <c r="J26" s="25">
        <v>11</v>
      </c>
      <c r="K26" s="22">
        <v>15</v>
      </c>
      <c r="L26" s="27">
        <v>39</v>
      </c>
      <c r="M26" s="22">
        <v>107</v>
      </c>
      <c r="N26" s="31">
        <v>980</v>
      </c>
      <c r="O26" s="32"/>
    </row>
    <row r="27" spans="1:15" ht="15.75" customHeight="1">
      <c r="A27" s="57"/>
      <c r="B27" s="19" t="s">
        <v>47</v>
      </c>
      <c r="C27" s="22">
        <v>2369</v>
      </c>
      <c r="D27" s="22">
        <v>22</v>
      </c>
      <c r="E27" s="22">
        <v>0</v>
      </c>
      <c r="F27" s="22">
        <v>1</v>
      </c>
      <c r="G27" s="22">
        <v>8</v>
      </c>
      <c r="H27" s="22">
        <v>32</v>
      </c>
      <c r="I27" s="22">
        <v>39</v>
      </c>
      <c r="J27" s="25">
        <v>28</v>
      </c>
      <c r="K27" s="22">
        <v>29</v>
      </c>
      <c r="L27" s="27">
        <v>113</v>
      </c>
      <c r="M27" s="22">
        <v>285</v>
      </c>
      <c r="N27" s="31">
        <v>1812</v>
      </c>
      <c r="O27" s="32"/>
    </row>
    <row r="28" spans="1:15" ht="15.75" customHeight="1">
      <c r="A28" s="3" t="s">
        <v>32</v>
      </c>
      <c r="B28" s="3"/>
      <c r="C28" s="3"/>
      <c r="D28" s="4"/>
      <c r="E28" s="5"/>
      <c r="F28" s="5"/>
      <c r="G28" s="5"/>
      <c r="H28" s="5"/>
      <c r="I28" s="5"/>
      <c r="J28" s="5" t="s">
        <v>56</v>
      </c>
      <c r="K28" s="5"/>
      <c r="L28" s="5"/>
      <c r="M28" s="6"/>
      <c r="N28" s="2"/>
      <c r="O28" s="32"/>
    </row>
    <row r="29" ht="15.75" customHeight="1">
      <c r="O29" s="32"/>
    </row>
    <row r="30" ht="15.75" customHeight="1">
      <c r="O30" s="32"/>
    </row>
    <row r="31" ht="15.75" customHeight="1">
      <c r="O31" s="32"/>
    </row>
    <row r="32" ht="15.75" customHeight="1">
      <c r="O32" s="32"/>
    </row>
    <row r="33" ht="15.75" customHeight="1">
      <c r="O33" s="32"/>
    </row>
    <row r="34" spans="1:15" s="2" customFormat="1" ht="19.5" customHeight="1">
      <c r="A34" s="13"/>
      <c r="B34" s="11"/>
      <c r="C34" s="11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6"/>
      <c r="O34" s="7"/>
    </row>
  </sheetData>
  <sheetProtection/>
  <mergeCells count="11">
    <mergeCell ref="A13:A15"/>
    <mergeCell ref="A16:A18"/>
    <mergeCell ref="A19:A21"/>
    <mergeCell ref="A22:A24"/>
    <mergeCell ref="A25:A27"/>
    <mergeCell ref="A1:N1"/>
    <mergeCell ref="F2:J2"/>
    <mergeCell ref="K2:L2"/>
    <mergeCell ref="A4:A6"/>
    <mergeCell ref="A7:A9"/>
    <mergeCell ref="A10:A12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="75" zoomScaleNormal="75" zoomScalePageLayoutView="0" workbookViewId="0" topLeftCell="A1">
      <pane xSplit="1" ySplit="2" topLeftCell="B12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A20" sqref="A20"/>
    </sheetView>
  </sheetViews>
  <sheetFormatPr defaultColWidth="9.00390625" defaultRowHeight="28.5" customHeight="1"/>
  <cols>
    <col min="1" max="1" width="11.00390625" style="2" customWidth="1"/>
    <col min="2" max="2" width="10.00390625" style="2" customWidth="1"/>
    <col min="3" max="6" width="10.00390625" style="8" customWidth="1"/>
    <col min="7" max="12" width="10.00390625" style="2" customWidth="1"/>
    <col min="13" max="13" width="10.00390625" style="48" customWidth="1"/>
    <col min="14" max="16384" width="9.00390625" style="2" customWidth="1"/>
  </cols>
  <sheetData>
    <row r="1" spans="1:13" s="7" customFormat="1" ht="28.5" customHeight="1">
      <c r="A1" s="62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3" s="7" customFormat="1" ht="28.5" customHeight="1">
      <c r="B2" s="9"/>
      <c r="C2" s="9"/>
      <c r="D2" s="9"/>
      <c r="E2" s="9" t="s">
        <v>34</v>
      </c>
      <c r="F2" s="9"/>
      <c r="G2" s="9"/>
      <c r="H2" s="9"/>
      <c r="I2" s="9"/>
      <c r="J2" s="9"/>
      <c r="K2" s="9"/>
      <c r="L2" s="9" t="s">
        <v>15</v>
      </c>
      <c r="M2" s="44"/>
    </row>
    <row r="3" spans="1:13" s="7" customFormat="1" ht="28.5" customHeight="1">
      <c r="A3" s="64" t="s">
        <v>18</v>
      </c>
      <c r="B3" s="61" t="s">
        <v>17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7"/>
    </row>
    <row r="4" spans="1:13" s="7" customFormat="1" ht="28.5" customHeight="1">
      <c r="A4" s="65"/>
      <c r="B4" s="61" t="s">
        <v>0</v>
      </c>
      <c r="C4" s="60"/>
      <c r="D4" s="60"/>
      <c r="E4" s="60"/>
      <c r="F4" s="60" t="s">
        <v>1</v>
      </c>
      <c r="G4" s="60"/>
      <c r="H4" s="60" t="s">
        <v>2</v>
      </c>
      <c r="I4" s="60"/>
      <c r="J4" s="60" t="s">
        <v>3</v>
      </c>
      <c r="K4" s="60" t="s">
        <v>4</v>
      </c>
      <c r="L4" s="60" t="s">
        <v>5</v>
      </c>
      <c r="M4" s="68" t="s">
        <v>6</v>
      </c>
    </row>
    <row r="5" spans="1:13" s="7" customFormat="1" ht="28.5" customHeight="1">
      <c r="A5" s="65"/>
      <c r="B5" s="61" t="s">
        <v>7</v>
      </c>
      <c r="C5" s="60"/>
      <c r="D5" s="60" t="s">
        <v>8</v>
      </c>
      <c r="E5" s="60" t="s">
        <v>9</v>
      </c>
      <c r="F5" s="60" t="s">
        <v>10</v>
      </c>
      <c r="G5" s="60" t="s">
        <v>11</v>
      </c>
      <c r="H5" s="60" t="s">
        <v>2</v>
      </c>
      <c r="I5" s="60" t="s">
        <v>12</v>
      </c>
      <c r="J5" s="61"/>
      <c r="K5" s="60"/>
      <c r="L5" s="60"/>
      <c r="M5" s="68"/>
    </row>
    <row r="6" spans="1:13" s="7" customFormat="1" ht="28.5" customHeight="1">
      <c r="A6" s="66"/>
      <c r="B6" s="35" t="s">
        <v>13</v>
      </c>
      <c r="C6" s="1" t="s">
        <v>14</v>
      </c>
      <c r="D6" s="60"/>
      <c r="E6" s="60"/>
      <c r="F6" s="60"/>
      <c r="G6" s="60"/>
      <c r="H6" s="60"/>
      <c r="I6" s="60"/>
      <c r="J6" s="61"/>
      <c r="K6" s="60"/>
      <c r="L6" s="60"/>
      <c r="M6" s="68"/>
    </row>
    <row r="7" spans="1:13" s="52" customFormat="1" ht="28.5" customHeight="1">
      <c r="A7" s="49" t="s">
        <v>20</v>
      </c>
      <c r="B7" s="50">
        <f>SUM(B8:B18)</f>
        <v>11</v>
      </c>
      <c r="C7" s="50">
        <f aca="true" t="shared" si="0" ref="C7:L7">SUM(C8:C18)</f>
        <v>364</v>
      </c>
      <c r="D7" s="50">
        <f t="shared" si="0"/>
        <v>2622</v>
      </c>
      <c r="E7" s="50">
        <f t="shared" si="0"/>
        <v>1480</v>
      </c>
      <c r="F7" s="50">
        <f t="shared" si="0"/>
        <v>1803</v>
      </c>
      <c r="G7" s="50">
        <f t="shared" si="0"/>
        <v>4279</v>
      </c>
      <c r="H7" s="50">
        <f t="shared" si="0"/>
        <v>3661</v>
      </c>
      <c r="I7" s="51">
        <f t="shared" si="0"/>
        <v>58</v>
      </c>
      <c r="J7" s="50">
        <f t="shared" si="0"/>
        <v>4330</v>
      </c>
      <c r="K7" s="50">
        <f t="shared" si="0"/>
        <v>46</v>
      </c>
      <c r="L7" s="50">
        <f t="shared" si="0"/>
        <v>767</v>
      </c>
      <c r="M7" s="45">
        <f>SUM(B7:L7)</f>
        <v>19421</v>
      </c>
    </row>
    <row r="8" spans="1:13" s="7" customFormat="1" ht="28.5" customHeight="1">
      <c r="A8" s="36" t="s">
        <v>19</v>
      </c>
      <c r="B8" s="38">
        <v>0</v>
      </c>
      <c r="C8" s="40">
        <v>0</v>
      </c>
      <c r="D8" s="40">
        <v>0</v>
      </c>
      <c r="E8" s="40">
        <v>0</v>
      </c>
      <c r="F8" s="42">
        <f>364+10</f>
        <v>374</v>
      </c>
      <c r="G8" s="40">
        <f>26+64</f>
        <v>90</v>
      </c>
      <c r="H8" s="40">
        <f>79+356+417+35</f>
        <v>887</v>
      </c>
      <c r="I8" s="40">
        <v>0</v>
      </c>
      <c r="J8" s="42">
        <v>100</v>
      </c>
      <c r="K8" s="38">
        <v>0</v>
      </c>
      <c r="L8" s="38">
        <v>0</v>
      </c>
      <c r="M8" s="45">
        <f>SUM(B8:L8)</f>
        <v>1451</v>
      </c>
    </row>
    <row r="9" spans="1:13" s="7" customFormat="1" ht="28.5" customHeight="1">
      <c r="A9" s="36" t="s">
        <v>21</v>
      </c>
      <c r="B9" s="38">
        <v>0</v>
      </c>
      <c r="C9" s="40">
        <v>3</v>
      </c>
      <c r="D9" s="40">
        <f>70+455</f>
        <v>525</v>
      </c>
      <c r="E9" s="40">
        <f>43+30</f>
        <v>73</v>
      </c>
      <c r="F9" s="42">
        <f>554+64</f>
        <v>618</v>
      </c>
      <c r="G9" s="40">
        <f>42+1+234</f>
        <v>277</v>
      </c>
      <c r="H9" s="40">
        <f>11+8+65+11</f>
        <v>95</v>
      </c>
      <c r="I9" s="40">
        <v>0</v>
      </c>
      <c r="J9" s="42">
        <v>4</v>
      </c>
      <c r="K9" s="38">
        <v>0</v>
      </c>
      <c r="L9" s="38">
        <v>0</v>
      </c>
      <c r="M9" s="45">
        <f aca="true" t="shared" si="1" ref="M9:M18">SUM(B9:L9)</f>
        <v>1595</v>
      </c>
    </row>
    <row r="10" spans="1:13" s="7" customFormat="1" ht="28.5" customHeight="1">
      <c r="A10" s="36" t="s">
        <v>22</v>
      </c>
      <c r="B10" s="38">
        <v>0</v>
      </c>
      <c r="C10" s="40">
        <v>107</v>
      </c>
      <c r="D10" s="40">
        <f>39+717</f>
        <v>756</v>
      </c>
      <c r="E10" s="40">
        <f>72+19</f>
        <v>91</v>
      </c>
      <c r="F10" s="42">
        <f>87+40</f>
        <v>127</v>
      </c>
      <c r="G10" s="40">
        <f>37+290</f>
        <v>327</v>
      </c>
      <c r="H10" s="40">
        <f>5+10+124+46</f>
        <v>185</v>
      </c>
      <c r="I10" s="40">
        <v>0</v>
      </c>
      <c r="J10" s="42">
        <v>18</v>
      </c>
      <c r="K10" s="38">
        <v>0</v>
      </c>
      <c r="L10" s="38">
        <v>0</v>
      </c>
      <c r="M10" s="45">
        <f t="shared" si="1"/>
        <v>1611</v>
      </c>
    </row>
    <row r="11" spans="1:13" s="7" customFormat="1" ht="28.5" customHeight="1">
      <c r="A11" s="36" t="s">
        <v>23</v>
      </c>
      <c r="B11" s="38">
        <v>2</v>
      </c>
      <c r="C11" s="40">
        <v>87</v>
      </c>
      <c r="D11" s="40">
        <f>23+476</f>
        <v>499</v>
      </c>
      <c r="E11" s="40">
        <f>174+64</f>
        <v>238</v>
      </c>
      <c r="F11" s="42">
        <f>58+35</f>
        <v>93</v>
      </c>
      <c r="G11" s="40">
        <f>38+13+511</f>
        <v>562</v>
      </c>
      <c r="H11" s="40">
        <f>9+46+79</f>
        <v>134</v>
      </c>
      <c r="I11" s="40">
        <v>0</v>
      </c>
      <c r="J11" s="42">
        <v>29</v>
      </c>
      <c r="K11" s="38">
        <v>0</v>
      </c>
      <c r="L11" s="38">
        <v>0</v>
      </c>
      <c r="M11" s="45">
        <f t="shared" si="1"/>
        <v>1644</v>
      </c>
    </row>
    <row r="12" spans="1:13" s="7" customFormat="1" ht="28.5" customHeight="1">
      <c r="A12" s="36" t="s">
        <v>24</v>
      </c>
      <c r="B12" s="38">
        <v>3</v>
      </c>
      <c r="C12" s="40">
        <v>60</v>
      </c>
      <c r="D12" s="40">
        <f>21+304</f>
        <v>325</v>
      </c>
      <c r="E12" s="40">
        <f>229+103</f>
        <v>332</v>
      </c>
      <c r="F12" s="42">
        <f>14+81</f>
        <v>95</v>
      </c>
      <c r="G12" s="40">
        <f>12+7+545</f>
        <v>564</v>
      </c>
      <c r="H12" s="40">
        <f>17+25+180</f>
        <v>222</v>
      </c>
      <c r="I12" s="40">
        <v>0</v>
      </c>
      <c r="J12" s="42">
        <v>40</v>
      </c>
      <c r="K12" s="38">
        <v>0</v>
      </c>
      <c r="L12" s="38">
        <v>2</v>
      </c>
      <c r="M12" s="45">
        <f t="shared" si="1"/>
        <v>1643</v>
      </c>
    </row>
    <row r="13" spans="1:13" s="7" customFormat="1" ht="28.5" customHeight="1">
      <c r="A13" s="36" t="s">
        <v>25</v>
      </c>
      <c r="B13" s="38">
        <v>1</v>
      </c>
      <c r="C13" s="40">
        <v>40</v>
      </c>
      <c r="D13" s="40">
        <v>190</v>
      </c>
      <c r="E13" s="40">
        <f>141+92</f>
        <v>233</v>
      </c>
      <c r="F13" s="42">
        <f>16+97</f>
        <v>113</v>
      </c>
      <c r="G13" s="40">
        <f>11+7+573</f>
        <v>591</v>
      </c>
      <c r="H13" s="40">
        <f>16+34+276</f>
        <v>326</v>
      </c>
      <c r="I13" s="40">
        <v>0</v>
      </c>
      <c r="J13" s="42">
        <v>40</v>
      </c>
      <c r="K13" s="38">
        <v>0</v>
      </c>
      <c r="L13" s="38">
        <v>4</v>
      </c>
      <c r="M13" s="45">
        <f t="shared" si="1"/>
        <v>1538</v>
      </c>
    </row>
    <row r="14" spans="1:13" s="7" customFormat="1" ht="28.5" customHeight="1">
      <c r="A14" s="36" t="s">
        <v>26</v>
      </c>
      <c r="B14" s="38">
        <v>1</v>
      </c>
      <c r="C14" s="40">
        <v>37</v>
      </c>
      <c r="D14" s="40">
        <f>125</f>
        <v>125</v>
      </c>
      <c r="E14" s="40">
        <f>90+84</f>
        <v>174</v>
      </c>
      <c r="F14" s="42">
        <f>11+104</f>
        <v>115</v>
      </c>
      <c r="G14" s="40">
        <f>15+706</f>
        <v>721</v>
      </c>
      <c r="H14" s="40">
        <f>20+43+491</f>
        <v>554</v>
      </c>
      <c r="I14" s="40">
        <v>0</v>
      </c>
      <c r="J14" s="42">
        <f>19+97+3</f>
        <v>119</v>
      </c>
      <c r="K14" s="38">
        <v>0</v>
      </c>
      <c r="L14" s="38">
        <v>4</v>
      </c>
      <c r="M14" s="45">
        <f t="shared" si="1"/>
        <v>1850</v>
      </c>
    </row>
    <row r="15" spans="1:13" s="7" customFormat="1" ht="28.5" customHeight="1">
      <c r="A15" s="36" t="s">
        <v>27</v>
      </c>
      <c r="B15" s="38">
        <v>1</v>
      </c>
      <c r="C15" s="40">
        <v>14</v>
      </c>
      <c r="D15" s="40">
        <v>88</v>
      </c>
      <c r="E15" s="40">
        <f>60+69</f>
        <v>129</v>
      </c>
      <c r="F15" s="42">
        <f>4+87</f>
        <v>91</v>
      </c>
      <c r="G15" s="40">
        <f>8+592</f>
        <v>600</v>
      </c>
      <c r="H15" s="40">
        <f>12+48+587</f>
        <v>647</v>
      </c>
      <c r="I15" s="40">
        <v>0</v>
      </c>
      <c r="J15" s="42">
        <f>22+286+26</f>
        <v>334</v>
      </c>
      <c r="K15" s="38">
        <v>2</v>
      </c>
      <c r="L15" s="38">
        <v>17</v>
      </c>
      <c r="M15" s="45">
        <f t="shared" si="1"/>
        <v>1923</v>
      </c>
    </row>
    <row r="16" spans="1:13" s="7" customFormat="1" ht="28.5" customHeight="1">
      <c r="A16" s="36" t="s">
        <v>28</v>
      </c>
      <c r="B16" s="38">
        <v>2</v>
      </c>
      <c r="C16" s="40">
        <v>11</v>
      </c>
      <c r="D16" s="40">
        <v>50</v>
      </c>
      <c r="E16" s="40">
        <f>24+62</f>
        <v>86</v>
      </c>
      <c r="F16" s="42">
        <f>2+63</f>
        <v>65</v>
      </c>
      <c r="G16" s="40">
        <f>12+296</f>
        <v>308</v>
      </c>
      <c r="H16" s="40">
        <f>7+20+277</f>
        <v>304</v>
      </c>
      <c r="I16" s="40">
        <v>8</v>
      </c>
      <c r="J16" s="42">
        <f>34+4+552+69</f>
        <v>659</v>
      </c>
      <c r="K16" s="38">
        <v>4</v>
      </c>
      <c r="L16" s="38">
        <v>34</v>
      </c>
      <c r="M16" s="45">
        <f t="shared" si="1"/>
        <v>1531</v>
      </c>
    </row>
    <row r="17" spans="1:13" s="7" customFormat="1" ht="28.5" customHeight="1">
      <c r="A17" s="36" t="s">
        <v>29</v>
      </c>
      <c r="B17" s="38">
        <v>1</v>
      </c>
      <c r="C17" s="40">
        <v>4</v>
      </c>
      <c r="D17" s="40">
        <v>33</v>
      </c>
      <c r="E17" s="40">
        <f>22+48</f>
        <v>70</v>
      </c>
      <c r="F17" s="42">
        <f>2+45</f>
        <v>47</v>
      </c>
      <c r="G17" s="40">
        <f>4+113</f>
        <v>117</v>
      </c>
      <c r="H17" s="40">
        <f>15+146</f>
        <v>161</v>
      </c>
      <c r="I17" s="40">
        <v>16</v>
      </c>
      <c r="J17" s="42">
        <f>51+2+660+108</f>
        <v>821</v>
      </c>
      <c r="K17" s="38">
        <v>3</v>
      </c>
      <c r="L17" s="38">
        <v>75</v>
      </c>
      <c r="M17" s="45">
        <f t="shared" si="1"/>
        <v>1348</v>
      </c>
    </row>
    <row r="18" spans="1:13" s="7" customFormat="1" ht="28.5" customHeight="1">
      <c r="A18" s="37" t="s">
        <v>30</v>
      </c>
      <c r="B18" s="39">
        <v>0</v>
      </c>
      <c r="C18" s="41">
        <v>1</v>
      </c>
      <c r="D18" s="41">
        <v>31</v>
      </c>
      <c r="E18" s="41">
        <f>33+21</f>
        <v>54</v>
      </c>
      <c r="F18" s="43">
        <v>65</v>
      </c>
      <c r="G18" s="41">
        <f>7+115</f>
        <v>122</v>
      </c>
      <c r="H18" s="41">
        <v>146</v>
      </c>
      <c r="I18" s="41">
        <v>34</v>
      </c>
      <c r="J18" s="43">
        <f>9+1590+542+25</f>
        <v>2166</v>
      </c>
      <c r="K18" s="39">
        <v>37</v>
      </c>
      <c r="L18" s="39">
        <v>631</v>
      </c>
      <c r="M18" s="46">
        <f t="shared" si="1"/>
        <v>3287</v>
      </c>
    </row>
    <row r="19" spans="1:13" s="7" customFormat="1" ht="28.5" customHeight="1">
      <c r="A19" s="17" t="s">
        <v>52</v>
      </c>
      <c r="B19" s="17"/>
      <c r="C19" s="17"/>
      <c r="D19" s="4"/>
      <c r="E19" s="5"/>
      <c r="F19" s="5"/>
      <c r="G19" s="5"/>
      <c r="H19" s="5"/>
      <c r="I19" s="5"/>
      <c r="J19" s="5" t="s">
        <v>36</v>
      </c>
      <c r="K19" s="5"/>
      <c r="L19" s="5"/>
      <c r="M19" s="47"/>
    </row>
    <row r="20" ht="28.5" customHeight="1">
      <c r="A20" s="7"/>
    </row>
  </sheetData>
  <sheetProtection/>
  <mergeCells count="17">
    <mergeCell ref="A1:M1"/>
    <mergeCell ref="A3:A6"/>
    <mergeCell ref="B3:M3"/>
    <mergeCell ref="B4:E4"/>
    <mergeCell ref="F4:G4"/>
    <mergeCell ref="H4:I4"/>
    <mergeCell ref="J4:J6"/>
    <mergeCell ref="K4:K6"/>
    <mergeCell ref="L4:L6"/>
    <mergeCell ref="M4:M6"/>
    <mergeCell ref="I5:I6"/>
    <mergeCell ref="B5:C5"/>
    <mergeCell ref="D5:D6"/>
    <mergeCell ref="E5:E6"/>
    <mergeCell ref="F5:F6"/>
    <mergeCell ref="G5:G6"/>
    <mergeCell ref="H5:H6"/>
  </mergeCells>
  <printOptions horizontalCentered="1"/>
  <pageMargins left="0" right="0" top="0.3937007874015748" bottom="0.1968503937007874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="75" zoomScaleNormal="75" zoomScalePageLayoutView="0" workbookViewId="0" topLeftCell="A1">
      <pane xSplit="1" ySplit="2" topLeftCell="B12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A20" sqref="A20"/>
    </sheetView>
  </sheetViews>
  <sheetFormatPr defaultColWidth="9.00390625" defaultRowHeight="28.5" customHeight="1"/>
  <cols>
    <col min="1" max="1" width="11.00390625" style="2" customWidth="1"/>
    <col min="2" max="2" width="10.00390625" style="2" customWidth="1"/>
    <col min="3" max="6" width="10.00390625" style="8" customWidth="1"/>
    <col min="7" max="12" width="10.00390625" style="2" customWidth="1"/>
    <col min="13" max="13" width="10.00390625" style="48" customWidth="1"/>
    <col min="14" max="16384" width="9.00390625" style="2" customWidth="1"/>
  </cols>
  <sheetData>
    <row r="1" spans="1:13" s="7" customFormat="1" ht="28.5" customHeight="1">
      <c r="A1" s="62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3" s="7" customFormat="1" ht="28.5" customHeight="1">
      <c r="B2" s="9"/>
      <c r="C2" s="9"/>
      <c r="D2" s="9"/>
      <c r="E2" s="9" t="s">
        <v>31</v>
      </c>
      <c r="F2" s="9"/>
      <c r="G2" s="9"/>
      <c r="H2" s="9"/>
      <c r="I2" s="9"/>
      <c r="J2" s="9"/>
      <c r="K2" s="9"/>
      <c r="L2" s="9" t="s">
        <v>15</v>
      </c>
      <c r="M2" s="44"/>
    </row>
    <row r="3" spans="1:13" s="7" customFormat="1" ht="28.5" customHeight="1">
      <c r="A3" s="64" t="s">
        <v>18</v>
      </c>
      <c r="B3" s="61" t="s">
        <v>17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7"/>
    </row>
    <row r="4" spans="1:13" s="7" customFormat="1" ht="28.5" customHeight="1">
      <c r="A4" s="65"/>
      <c r="B4" s="61" t="s">
        <v>0</v>
      </c>
      <c r="C4" s="60"/>
      <c r="D4" s="60"/>
      <c r="E4" s="60"/>
      <c r="F4" s="60" t="s">
        <v>1</v>
      </c>
      <c r="G4" s="60"/>
      <c r="H4" s="60" t="s">
        <v>2</v>
      </c>
      <c r="I4" s="60"/>
      <c r="J4" s="60" t="s">
        <v>3</v>
      </c>
      <c r="K4" s="60" t="s">
        <v>4</v>
      </c>
      <c r="L4" s="60" t="s">
        <v>5</v>
      </c>
      <c r="M4" s="68" t="s">
        <v>6</v>
      </c>
    </row>
    <row r="5" spans="1:13" s="7" customFormat="1" ht="28.5" customHeight="1">
      <c r="A5" s="65"/>
      <c r="B5" s="61" t="s">
        <v>7</v>
      </c>
      <c r="C5" s="60"/>
      <c r="D5" s="60" t="s">
        <v>8</v>
      </c>
      <c r="E5" s="60" t="s">
        <v>9</v>
      </c>
      <c r="F5" s="60" t="s">
        <v>10</v>
      </c>
      <c r="G5" s="60" t="s">
        <v>11</v>
      </c>
      <c r="H5" s="60" t="s">
        <v>2</v>
      </c>
      <c r="I5" s="60" t="s">
        <v>12</v>
      </c>
      <c r="J5" s="61"/>
      <c r="K5" s="60"/>
      <c r="L5" s="60"/>
      <c r="M5" s="68"/>
    </row>
    <row r="6" spans="1:13" s="7" customFormat="1" ht="28.5" customHeight="1">
      <c r="A6" s="66"/>
      <c r="B6" s="35" t="s">
        <v>13</v>
      </c>
      <c r="C6" s="1" t="s">
        <v>14</v>
      </c>
      <c r="D6" s="60"/>
      <c r="E6" s="60"/>
      <c r="F6" s="60"/>
      <c r="G6" s="60"/>
      <c r="H6" s="60"/>
      <c r="I6" s="60"/>
      <c r="J6" s="61"/>
      <c r="K6" s="60"/>
      <c r="L6" s="60"/>
      <c r="M6" s="68"/>
    </row>
    <row r="7" spans="1:13" s="52" customFormat="1" ht="28.5" customHeight="1">
      <c r="A7" s="49" t="s">
        <v>20</v>
      </c>
      <c r="B7" s="50">
        <f>SUM(B8:B18)</f>
        <v>8</v>
      </c>
      <c r="C7" s="50">
        <f aca="true" t="shared" si="0" ref="C7:L7">SUM(C8:C18)</f>
        <v>341</v>
      </c>
      <c r="D7" s="50">
        <f t="shared" si="0"/>
        <v>2401</v>
      </c>
      <c r="E7" s="50">
        <f t="shared" si="0"/>
        <v>1481</v>
      </c>
      <c r="F7" s="50">
        <f t="shared" si="0"/>
        <v>1777</v>
      </c>
      <c r="G7" s="50">
        <f t="shared" si="0"/>
        <v>4272</v>
      </c>
      <c r="H7" s="50">
        <f t="shared" si="0"/>
        <v>3715</v>
      </c>
      <c r="I7" s="51">
        <f t="shared" si="0"/>
        <v>60</v>
      </c>
      <c r="J7" s="50">
        <f t="shared" si="0"/>
        <v>4450</v>
      </c>
      <c r="K7" s="50">
        <f t="shared" si="0"/>
        <v>50</v>
      </c>
      <c r="L7" s="50">
        <f t="shared" si="0"/>
        <v>808</v>
      </c>
      <c r="M7" s="45">
        <f>SUM(B7:L7)</f>
        <v>19363</v>
      </c>
    </row>
    <row r="8" spans="1:13" s="7" customFormat="1" ht="28.5" customHeight="1">
      <c r="A8" s="36" t="s">
        <v>19</v>
      </c>
      <c r="B8" s="38">
        <v>0</v>
      </c>
      <c r="C8" s="40">
        <v>0</v>
      </c>
      <c r="D8" s="40">
        <v>0</v>
      </c>
      <c r="E8" s="40">
        <v>0</v>
      </c>
      <c r="F8" s="42">
        <f>343+11</f>
        <v>354</v>
      </c>
      <c r="G8" s="40">
        <f>19+72</f>
        <v>91</v>
      </c>
      <c r="H8" s="40">
        <f>77+393+432+22</f>
        <v>924</v>
      </c>
      <c r="I8" s="40">
        <v>0</v>
      </c>
      <c r="J8" s="42">
        <v>87</v>
      </c>
      <c r="K8" s="38">
        <v>0</v>
      </c>
      <c r="L8" s="38">
        <v>0</v>
      </c>
      <c r="M8" s="45">
        <f>SUM(B8:L8)</f>
        <v>1456</v>
      </c>
    </row>
    <row r="9" spans="1:13" s="7" customFormat="1" ht="28.5" customHeight="1">
      <c r="A9" s="36" t="s">
        <v>21</v>
      </c>
      <c r="B9" s="38">
        <v>0</v>
      </c>
      <c r="C9" s="40">
        <v>7</v>
      </c>
      <c r="D9" s="40">
        <f>53+433</f>
        <v>486</v>
      </c>
      <c r="E9" s="40">
        <f>43+21</f>
        <v>64</v>
      </c>
      <c r="F9" s="42">
        <f>540+90</f>
        <v>630</v>
      </c>
      <c r="G9" s="40">
        <f>34+251</f>
        <v>285</v>
      </c>
      <c r="H9" s="40">
        <f>18+10+78+13</f>
        <v>119</v>
      </c>
      <c r="I9" s="40">
        <v>0</v>
      </c>
      <c r="J9" s="42">
        <v>5</v>
      </c>
      <c r="K9" s="38">
        <v>0</v>
      </c>
      <c r="L9" s="38">
        <v>0</v>
      </c>
      <c r="M9" s="45">
        <f aca="true" t="shared" si="1" ref="M9:M18">SUM(B9:L9)</f>
        <v>1596</v>
      </c>
    </row>
    <row r="10" spans="1:13" s="7" customFormat="1" ht="28.5" customHeight="1">
      <c r="A10" s="36" t="s">
        <v>22</v>
      </c>
      <c r="B10" s="38">
        <v>0</v>
      </c>
      <c r="C10" s="40">
        <v>107</v>
      </c>
      <c r="D10" s="40">
        <f>34+663</f>
        <v>697</v>
      </c>
      <c r="E10" s="40">
        <f>94+26</f>
        <v>120</v>
      </c>
      <c r="F10" s="42">
        <f>86+37</f>
        <v>123</v>
      </c>
      <c r="G10" s="40">
        <f>35+4+350</f>
        <v>389</v>
      </c>
      <c r="H10" s="40">
        <f>6+14+134+52</f>
        <v>206</v>
      </c>
      <c r="I10" s="40">
        <v>0</v>
      </c>
      <c r="J10" s="42">
        <f>20</f>
        <v>20</v>
      </c>
      <c r="K10" s="38">
        <v>0</v>
      </c>
      <c r="L10" s="38">
        <v>0</v>
      </c>
      <c r="M10" s="45">
        <f t="shared" si="1"/>
        <v>1662</v>
      </c>
    </row>
    <row r="11" spans="1:13" s="7" customFormat="1" ht="28.5" customHeight="1">
      <c r="A11" s="36" t="s">
        <v>23</v>
      </c>
      <c r="B11" s="38">
        <v>2</v>
      </c>
      <c r="C11" s="40">
        <v>85</v>
      </c>
      <c r="D11" s="40">
        <f>28+426</f>
        <v>454</v>
      </c>
      <c r="E11" s="40">
        <f>201+84</f>
        <v>285</v>
      </c>
      <c r="F11" s="42">
        <f>55+36</f>
        <v>91</v>
      </c>
      <c r="G11" s="40">
        <f>31+14+517</f>
        <v>562</v>
      </c>
      <c r="H11" s="40">
        <f>9+32+110</f>
        <v>151</v>
      </c>
      <c r="I11" s="40">
        <v>0</v>
      </c>
      <c r="J11" s="42">
        <v>34</v>
      </c>
      <c r="K11" s="38">
        <v>0</v>
      </c>
      <c r="L11" s="38">
        <v>0</v>
      </c>
      <c r="M11" s="45">
        <f t="shared" si="1"/>
        <v>1664</v>
      </c>
    </row>
    <row r="12" spans="1:13" s="7" customFormat="1" ht="28.5" customHeight="1">
      <c r="A12" s="36" t="s">
        <v>24</v>
      </c>
      <c r="B12" s="38">
        <v>2</v>
      </c>
      <c r="C12" s="40">
        <v>53</v>
      </c>
      <c r="D12" s="40">
        <f>22+264</f>
        <v>286</v>
      </c>
      <c r="E12" s="40">
        <f>220+99</f>
        <v>319</v>
      </c>
      <c r="F12" s="42">
        <f>14+89</f>
        <v>103</v>
      </c>
      <c r="G12" s="40">
        <f>12+9+543</f>
        <v>564</v>
      </c>
      <c r="H12" s="40">
        <f>15+23+185</f>
        <v>223</v>
      </c>
      <c r="I12" s="40">
        <v>0</v>
      </c>
      <c r="J12" s="42">
        <f>17+21+3</f>
        <v>41</v>
      </c>
      <c r="K12" s="38">
        <v>0</v>
      </c>
      <c r="L12" s="38">
        <v>3</v>
      </c>
      <c r="M12" s="45">
        <f t="shared" si="1"/>
        <v>1594</v>
      </c>
    </row>
    <row r="13" spans="1:13" s="7" customFormat="1" ht="28.5" customHeight="1">
      <c r="A13" s="36" t="s">
        <v>25</v>
      </c>
      <c r="B13" s="38">
        <v>1</v>
      </c>
      <c r="C13" s="40">
        <v>30</v>
      </c>
      <c r="D13" s="40">
        <f>10+174</f>
        <v>184</v>
      </c>
      <c r="E13" s="40">
        <f>116+100</f>
        <v>216</v>
      </c>
      <c r="F13" s="42">
        <f>13+96</f>
        <v>109</v>
      </c>
      <c r="G13" s="40">
        <f>10+6+623</f>
        <v>639</v>
      </c>
      <c r="H13" s="40">
        <f>11+32+316</f>
        <v>359</v>
      </c>
      <c r="I13" s="40">
        <v>0</v>
      </c>
      <c r="J13" s="42">
        <f>14+26+4</f>
        <v>44</v>
      </c>
      <c r="K13" s="38">
        <v>0</v>
      </c>
      <c r="L13" s="38">
        <v>5</v>
      </c>
      <c r="M13" s="45">
        <f t="shared" si="1"/>
        <v>1587</v>
      </c>
    </row>
    <row r="14" spans="1:13" s="7" customFormat="1" ht="28.5" customHeight="1">
      <c r="A14" s="36" t="s">
        <v>26</v>
      </c>
      <c r="B14" s="38">
        <v>0</v>
      </c>
      <c r="C14" s="40">
        <v>32</v>
      </c>
      <c r="D14" s="40">
        <f>10+103</f>
        <v>113</v>
      </c>
      <c r="E14" s="40">
        <f>81+85</f>
        <v>166</v>
      </c>
      <c r="F14" s="42">
        <f>8+100</f>
        <v>108</v>
      </c>
      <c r="G14" s="40">
        <f>9+7+693</f>
        <v>709</v>
      </c>
      <c r="H14" s="40">
        <f>23+50+541</f>
        <v>614</v>
      </c>
      <c r="I14" s="40">
        <v>0</v>
      </c>
      <c r="J14" s="42">
        <f>18+126+5</f>
        <v>149</v>
      </c>
      <c r="K14" s="38">
        <v>0</v>
      </c>
      <c r="L14" s="38">
        <v>7</v>
      </c>
      <c r="M14" s="45">
        <f t="shared" si="1"/>
        <v>1898</v>
      </c>
    </row>
    <row r="15" spans="1:13" s="7" customFormat="1" ht="28.5" customHeight="1">
      <c r="A15" s="36" t="s">
        <v>27</v>
      </c>
      <c r="B15" s="38">
        <v>1</v>
      </c>
      <c r="C15" s="40">
        <v>12</v>
      </c>
      <c r="D15" s="40">
        <v>77</v>
      </c>
      <c r="E15" s="40">
        <f>59+64</f>
        <v>123</v>
      </c>
      <c r="F15" s="42">
        <f>6+83</f>
        <v>89</v>
      </c>
      <c r="G15" s="40">
        <f>6+1+557</f>
        <v>564</v>
      </c>
      <c r="H15" s="40">
        <f>9+43+540</f>
        <v>592</v>
      </c>
      <c r="I15" s="40">
        <v>0</v>
      </c>
      <c r="J15" s="42">
        <f>27+1+334+30</f>
        <v>392</v>
      </c>
      <c r="K15" s="38">
        <v>2</v>
      </c>
      <c r="L15" s="38">
        <v>16</v>
      </c>
      <c r="M15" s="45">
        <f t="shared" si="1"/>
        <v>1868</v>
      </c>
    </row>
    <row r="16" spans="1:13" s="7" customFormat="1" ht="28.5" customHeight="1">
      <c r="A16" s="36" t="s">
        <v>28</v>
      </c>
      <c r="B16" s="38">
        <v>1</v>
      </c>
      <c r="C16" s="40">
        <v>10</v>
      </c>
      <c r="D16" s="40">
        <v>48</v>
      </c>
      <c r="E16" s="40">
        <f>21+57</f>
        <v>78</v>
      </c>
      <c r="F16" s="42">
        <f>2+58</f>
        <v>60</v>
      </c>
      <c r="G16" s="40">
        <f>11+2+247</f>
        <v>260</v>
      </c>
      <c r="H16" s="40">
        <f>7+15+228</f>
        <v>250</v>
      </c>
      <c r="I16" s="40">
        <v>10</v>
      </c>
      <c r="J16" s="42">
        <f>39+3+621+83</f>
        <v>746</v>
      </c>
      <c r="K16" s="38">
        <v>5</v>
      </c>
      <c r="L16" s="38">
        <v>45</v>
      </c>
      <c r="M16" s="45">
        <f t="shared" si="1"/>
        <v>1513</v>
      </c>
    </row>
    <row r="17" spans="1:13" s="7" customFormat="1" ht="28.5" customHeight="1">
      <c r="A17" s="36" t="s">
        <v>29</v>
      </c>
      <c r="B17" s="38">
        <v>1</v>
      </c>
      <c r="C17" s="40">
        <v>4</v>
      </c>
      <c r="D17" s="40">
        <v>28</v>
      </c>
      <c r="E17" s="40">
        <v>62</v>
      </c>
      <c r="F17" s="42">
        <v>45</v>
      </c>
      <c r="G17" s="40">
        <f>2+99</f>
        <v>101</v>
      </c>
      <c r="H17" s="40">
        <f>8+6+124</f>
        <v>138</v>
      </c>
      <c r="I17" s="40">
        <v>17</v>
      </c>
      <c r="J17" s="42">
        <f>44+3+608+112</f>
        <v>767</v>
      </c>
      <c r="K17" s="38">
        <v>3</v>
      </c>
      <c r="L17" s="38">
        <v>79</v>
      </c>
      <c r="M17" s="45">
        <f t="shared" si="1"/>
        <v>1245</v>
      </c>
    </row>
    <row r="18" spans="1:13" s="7" customFormat="1" ht="28.5" customHeight="1">
      <c r="A18" s="37" t="s">
        <v>30</v>
      </c>
      <c r="B18" s="39">
        <v>0</v>
      </c>
      <c r="C18" s="41">
        <v>1</v>
      </c>
      <c r="D18" s="41">
        <v>28</v>
      </c>
      <c r="E18" s="41">
        <v>48</v>
      </c>
      <c r="F18" s="43">
        <v>65</v>
      </c>
      <c r="G18" s="41">
        <f>8+100</f>
        <v>108</v>
      </c>
      <c r="H18" s="41">
        <f>5+5+129</f>
        <v>139</v>
      </c>
      <c r="I18" s="41">
        <v>33</v>
      </c>
      <c r="J18" s="43">
        <f>23+9+1580+553</f>
        <v>2165</v>
      </c>
      <c r="K18" s="39">
        <v>40</v>
      </c>
      <c r="L18" s="39">
        <v>653</v>
      </c>
      <c r="M18" s="46">
        <f t="shared" si="1"/>
        <v>3280</v>
      </c>
    </row>
    <row r="19" spans="1:13" s="7" customFormat="1" ht="28.5" customHeight="1">
      <c r="A19" s="17" t="s">
        <v>52</v>
      </c>
      <c r="B19" s="17"/>
      <c r="C19" s="17"/>
      <c r="D19" s="4"/>
      <c r="E19" s="5"/>
      <c r="F19" s="5"/>
      <c r="G19" s="5"/>
      <c r="H19" s="5"/>
      <c r="I19" s="5"/>
      <c r="J19" s="5" t="s">
        <v>36</v>
      </c>
      <c r="K19" s="5"/>
      <c r="L19" s="5"/>
      <c r="M19" s="47"/>
    </row>
    <row r="20" ht="28.5" customHeight="1">
      <c r="A20" s="7"/>
    </row>
  </sheetData>
  <sheetProtection/>
  <mergeCells count="17">
    <mergeCell ref="A1:M1"/>
    <mergeCell ref="A3:A6"/>
    <mergeCell ref="B3:M3"/>
    <mergeCell ref="B4:E4"/>
    <mergeCell ref="F4:G4"/>
    <mergeCell ref="H4:I4"/>
    <mergeCell ref="J4:J6"/>
    <mergeCell ref="K4:K6"/>
    <mergeCell ref="L4:L6"/>
    <mergeCell ref="M4:M6"/>
    <mergeCell ref="I5:I6"/>
    <mergeCell ref="B5:C5"/>
    <mergeCell ref="D5:D6"/>
    <mergeCell ref="E5:E6"/>
    <mergeCell ref="F5:F6"/>
    <mergeCell ref="G5:G6"/>
    <mergeCell ref="H5:H6"/>
  </mergeCells>
  <printOptions horizontalCentered="1"/>
  <pageMargins left="0" right="0" top="0.3937007874015748" bottom="0.1968503937007874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A20" sqref="A20"/>
    </sheetView>
  </sheetViews>
  <sheetFormatPr defaultColWidth="9.00390625" defaultRowHeight="28.5" customHeight="1"/>
  <cols>
    <col min="1" max="1" width="11.00390625" style="2" customWidth="1"/>
    <col min="2" max="2" width="10.00390625" style="2" customWidth="1"/>
    <col min="3" max="6" width="10.00390625" style="8" customWidth="1"/>
    <col min="7" max="12" width="10.00390625" style="2" customWidth="1"/>
    <col min="13" max="13" width="10.00390625" style="48" customWidth="1"/>
    <col min="14" max="16384" width="9.00390625" style="2" customWidth="1"/>
  </cols>
  <sheetData>
    <row r="1" spans="1:13" s="7" customFormat="1" ht="28.5" customHeight="1">
      <c r="A1" s="62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3" s="7" customFormat="1" ht="28.5" customHeight="1">
      <c r="B2" s="9"/>
      <c r="C2" s="9"/>
      <c r="D2" s="9"/>
      <c r="E2" s="9" t="s">
        <v>16</v>
      </c>
      <c r="F2" s="9"/>
      <c r="G2" s="9"/>
      <c r="H2" s="9"/>
      <c r="I2" s="9"/>
      <c r="J2" s="9"/>
      <c r="K2" s="9"/>
      <c r="L2" s="9" t="s">
        <v>15</v>
      </c>
      <c r="M2" s="44"/>
    </row>
    <row r="3" spans="1:13" s="7" customFormat="1" ht="28.5" customHeight="1">
      <c r="A3" s="64" t="s">
        <v>18</v>
      </c>
      <c r="B3" s="61" t="s">
        <v>17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7"/>
    </row>
    <row r="4" spans="1:13" s="7" customFormat="1" ht="28.5" customHeight="1">
      <c r="A4" s="65"/>
      <c r="B4" s="61" t="s">
        <v>0</v>
      </c>
      <c r="C4" s="60"/>
      <c r="D4" s="60"/>
      <c r="E4" s="60"/>
      <c r="F4" s="60" t="s">
        <v>1</v>
      </c>
      <c r="G4" s="60"/>
      <c r="H4" s="60" t="s">
        <v>2</v>
      </c>
      <c r="I4" s="60"/>
      <c r="J4" s="60" t="s">
        <v>3</v>
      </c>
      <c r="K4" s="60" t="s">
        <v>4</v>
      </c>
      <c r="L4" s="60" t="s">
        <v>5</v>
      </c>
      <c r="M4" s="68" t="s">
        <v>6</v>
      </c>
    </row>
    <row r="5" spans="1:13" s="7" customFormat="1" ht="28.5" customHeight="1">
      <c r="A5" s="65"/>
      <c r="B5" s="61" t="s">
        <v>7</v>
      </c>
      <c r="C5" s="60"/>
      <c r="D5" s="60" t="s">
        <v>8</v>
      </c>
      <c r="E5" s="60" t="s">
        <v>9</v>
      </c>
      <c r="F5" s="60" t="s">
        <v>10</v>
      </c>
      <c r="G5" s="60" t="s">
        <v>11</v>
      </c>
      <c r="H5" s="60" t="s">
        <v>2</v>
      </c>
      <c r="I5" s="60" t="s">
        <v>12</v>
      </c>
      <c r="J5" s="61"/>
      <c r="K5" s="60"/>
      <c r="L5" s="60"/>
      <c r="M5" s="68"/>
    </row>
    <row r="6" spans="1:13" s="7" customFormat="1" ht="28.5" customHeight="1">
      <c r="A6" s="66"/>
      <c r="B6" s="35" t="s">
        <v>13</v>
      </c>
      <c r="C6" s="1" t="s">
        <v>14</v>
      </c>
      <c r="D6" s="60"/>
      <c r="E6" s="60"/>
      <c r="F6" s="60"/>
      <c r="G6" s="60"/>
      <c r="H6" s="60"/>
      <c r="I6" s="60"/>
      <c r="J6" s="61"/>
      <c r="K6" s="60"/>
      <c r="L6" s="60"/>
      <c r="M6" s="68"/>
    </row>
    <row r="7" spans="1:13" s="52" customFormat="1" ht="28.5" customHeight="1">
      <c r="A7" s="49" t="s">
        <v>20</v>
      </c>
      <c r="B7" s="50">
        <f>SUM(B8:B18)</f>
        <v>6</v>
      </c>
      <c r="C7" s="50">
        <f aca="true" t="shared" si="0" ref="C7:L7">SUM(C8:C18)</f>
        <v>307</v>
      </c>
      <c r="D7" s="50">
        <f t="shared" si="0"/>
        <v>2237</v>
      </c>
      <c r="E7" s="50">
        <f t="shared" si="0"/>
        <v>1504</v>
      </c>
      <c r="F7" s="50">
        <f t="shared" si="0"/>
        <v>1811</v>
      </c>
      <c r="G7" s="50">
        <f t="shared" si="0"/>
        <v>4272</v>
      </c>
      <c r="H7" s="50">
        <f t="shared" si="0"/>
        <v>3749</v>
      </c>
      <c r="I7" s="51">
        <f t="shared" si="0"/>
        <v>61</v>
      </c>
      <c r="J7" s="50">
        <f t="shared" si="0"/>
        <v>4597</v>
      </c>
      <c r="K7" s="50">
        <f t="shared" si="0"/>
        <v>56</v>
      </c>
      <c r="L7" s="50">
        <f t="shared" si="0"/>
        <v>859</v>
      </c>
      <c r="M7" s="45">
        <f>SUM(B7:L7)</f>
        <v>19459</v>
      </c>
    </row>
    <row r="8" spans="1:13" s="7" customFormat="1" ht="28.5" customHeight="1">
      <c r="A8" s="36" t="s">
        <v>19</v>
      </c>
      <c r="B8" s="38">
        <v>0</v>
      </c>
      <c r="C8" s="40">
        <v>0</v>
      </c>
      <c r="D8" s="40">
        <v>0</v>
      </c>
      <c r="E8" s="40">
        <v>0</v>
      </c>
      <c r="F8" s="42">
        <f>281+39</f>
        <v>320</v>
      </c>
      <c r="G8" s="40">
        <f>17+103</f>
        <v>120</v>
      </c>
      <c r="H8" s="40">
        <f>71+382+433+67</f>
        <v>953</v>
      </c>
      <c r="I8" s="40">
        <v>0</v>
      </c>
      <c r="J8" s="42">
        <v>89</v>
      </c>
      <c r="K8" s="38">
        <v>0</v>
      </c>
      <c r="L8" s="38">
        <v>0</v>
      </c>
      <c r="M8" s="45">
        <f>SUM(B8:L8)</f>
        <v>1482</v>
      </c>
    </row>
    <row r="9" spans="1:13" s="7" customFormat="1" ht="28.5" customHeight="1">
      <c r="A9" s="36" t="s">
        <v>21</v>
      </c>
      <c r="B9" s="38">
        <v>0</v>
      </c>
      <c r="C9" s="40">
        <v>5</v>
      </c>
      <c r="D9" s="40">
        <f>31+389</f>
        <v>420</v>
      </c>
      <c r="E9" s="40">
        <v>65</v>
      </c>
      <c r="F9" s="42">
        <f>593+94</f>
        <v>687</v>
      </c>
      <c r="G9" s="40">
        <f>32+255</f>
        <v>287</v>
      </c>
      <c r="H9" s="40">
        <f>11+5+84+23</f>
        <v>123</v>
      </c>
      <c r="I9" s="40">
        <v>0</v>
      </c>
      <c r="J9" s="42">
        <f>7</f>
        <v>7</v>
      </c>
      <c r="K9" s="38">
        <v>0</v>
      </c>
      <c r="L9" s="38">
        <v>0</v>
      </c>
      <c r="M9" s="45">
        <f aca="true" t="shared" si="1" ref="M9:M18">SUM(B9:L9)</f>
        <v>1594</v>
      </c>
    </row>
    <row r="10" spans="1:13" s="7" customFormat="1" ht="28.5" customHeight="1">
      <c r="A10" s="36" t="s">
        <v>22</v>
      </c>
      <c r="B10" s="38">
        <v>1</v>
      </c>
      <c r="C10" s="40">
        <v>99</v>
      </c>
      <c r="D10" s="40">
        <f>38+648</f>
        <v>686</v>
      </c>
      <c r="E10" s="40">
        <f>114+34</f>
        <v>148</v>
      </c>
      <c r="F10" s="42">
        <f>100+33</f>
        <v>133</v>
      </c>
      <c r="G10" s="40">
        <f>39+8+400</f>
        <v>447</v>
      </c>
      <c r="H10" s="40">
        <f>5+16+127+57</f>
        <v>205</v>
      </c>
      <c r="I10" s="40">
        <v>0</v>
      </c>
      <c r="J10" s="42">
        <v>20</v>
      </c>
      <c r="K10" s="38">
        <v>0</v>
      </c>
      <c r="L10" s="38">
        <v>0</v>
      </c>
      <c r="M10" s="45">
        <f t="shared" si="1"/>
        <v>1739</v>
      </c>
    </row>
    <row r="11" spans="1:13" s="7" customFormat="1" ht="28.5" customHeight="1">
      <c r="A11" s="36" t="s">
        <v>23</v>
      </c>
      <c r="B11" s="38">
        <v>3</v>
      </c>
      <c r="C11" s="40">
        <v>80</v>
      </c>
      <c r="D11" s="40">
        <f>36+396</f>
        <v>432</v>
      </c>
      <c r="E11" s="40">
        <f>242+92</f>
        <v>334</v>
      </c>
      <c r="F11" s="42">
        <f>38+48</f>
        <v>86</v>
      </c>
      <c r="G11" s="40">
        <f>31+11+517</f>
        <v>559</v>
      </c>
      <c r="H11" s="40">
        <f>11+27+131</f>
        <v>169</v>
      </c>
      <c r="I11" s="40">
        <v>0</v>
      </c>
      <c r="J11" s="42">
        <v>39</v>
      </c>
      <c r="K11" s="38">
        <v>0</v>
      </c>
      <c r="L11" s="38">
        <v>1</v>
      </c>
      <c r="M11" s="45">
        <f t="shared" si="1"/>
        <v>1703</v>
      </c>
    </row>
    <row r="12" spans="1:13" s="7" customFormat="1" ht="28.5" customHeight="1">
      <c r="A12" s="36" t="s">
        <v>24</v>
      </c>
      <c r="B12" s="38">
        <v>0</v>
      </c>
      <c r="C12" s="40">
        <v>44</v>
      </c>
      <c r="D12" s="40">
        <f>21+219</f>
        <v>240</v>
      </c>
      <c r="E12" s="40">
        <f>197+104</f>
        <v>301</v>
      </c>
      <c r="F12" s="42">
        <f>16+99</f>
        <v>115</v>
      </c>
      <c r="G12" s="40">
        <f>6+9+557</f>
        <v>572</v>
      </c>
      <c r="H12" s="40">
        <f>15+32+201</f>
        <v>248</v>
      </c>
      <c r="I12" s="40">
        <v>0</v>
      </c>
      <c r="J12" s="42">
        <f>21+14</f>
        <v>35</v>
      </c>
      <c r="K12" s="38">
        <v>0</v>
      </c>
      <c r="L12" s="38">
        <v>3</v>
      </c>
      <c r="M12" s="45">
        <f t="shared" si="1"/>
        <v>1558</v>
      </c>
    </row>
    <row r="13" spans="1:13" s="7" customFormat="1" ht="28.5" customHeight="1">
      <c r="A13" s="36" t="s">
        <v>25</v>
      </c>
      <c r="B13" s="38">
        <v>1</v>
      </c>
      <c r="C13" s="40">
        <v>28</v>
      </c>
      <c r="D13" s="40">
        <f>9+175</f>
        <v>184</v>
      </c>
      <c r="E13" s="40">
        <f>108+99</f>
        <v>207</v>
      </c>
      <c r="F13" s="42">
        <f>18+104</f>
        <v>122</v>
      </c>
      <c r="G13" s="40">
        <f>10+8+673</f>
        <v>691</v>
      </c>
      <c r="H13" s="40">
        <f>14+34+364</f>
        <v>412</v>
      </c>
      <c r="I13" s="40">
        <v>0</v>
      </c>
      <c r="J13" s="42">
        <f>16+38+3</f>
        <v>57</v>
      </c>
      <c r="K13" s="38">
        <v>0</v>
      </c>
      <c r="L13" s="38">
        <v>4</v>
      </c>
      <c r="M13" s="45">
        <f t="shared" si="1"/>
        <v>1706</v>
      </c>
    </row>
    <row r="14" spans="1:13" s="7" customFormat="1" ht="28.5" customHeight="1">
      <c r="A14" s="36" t="s">
        <v>26</v>
      </c>
      <c r="B14" s="38">
        <v>0</v>
      </c>
      <c r="C14" s="40">
        <v>32</v>
      </c>
      <c r="D14" s="40">
        <v>112</v>
      </c>
      <c r="E14" s="40">
        <f>78+88</f>
        <v>166</v>
      </c>
      <c r="F14" s="42">
        <f>10+95</f>
        <v>105</v>
      </c>
      <c r="G14" s="40">
        <f>9+5+654</f>
        <v>668</v>
      </c>
      <c r="H14" s="40">
        <f>20+50+594</f>
        <v>664</v>
      </c>
      <c r="I14" s="40">
        <v>0</v>
      </c>
      <c r="J14" s="42">
        <f>18+166+8</f>
        <v>192</v>
      </c>
      <c r="K14" s="38">
        <v>0</v>
      </c>
      <c r="L14" s="38">
        <v>8</v>
      </c>
      <c r="M14" s="45">
        <f t="shared" si="1"/>
        <v>1947</v>
      </c>
    </row>
    <row r="15" spans="1:13" s="7" customFormat="1" ht="28.5" customHeight="1">
      <c r="A15" s="36" t="s">
        <v>27</v>
      </c>
      <c r="B15" s="38">
        <v>0</v>
      </c>
      <c r="C15" s="40">
        <v>6</v>
      </c>
      <c r="D15" s="40">
        <v>64</v>
      </c>
      <c r="E15" s="40">
        <f>49+59</f>
        <v>108</v>
      </c>
      <c r="F15" s="42">
        <f>6+80</f>
        <v>86</v>
      </c>
      <c r="G15" s="40">
        <f>8+1+508</f>
        <v>517</v>
      </c>
      <c r="H15" s="40">
        <f>7+38+467</f>
        <v>512</v>
      </c>
      <c r="I15" s="40">
        <v>0</v>
      </c>
      <c r="J15" s="42">
        <f>34+1+372+41</f>
        <v>448</v>
      </c>
      <c r="K15" s="38">
        <v>4</v>
      </c>
      <c r="L15" s="38">
        <v>21</v>
      </c>
      <c r="M15" s="45">
        <f t="shared" si="1"/>
        <v>1766</v>
      </c>
    </row>
    <row r="16" spans="1:13" s="7" customFormat="1" ht="28.5" customHeight="1">
      <c r="A16" s="36" t="s">
        <v>28</v>
      </c>
      <c r="B16" s="38">
        <v>1</v>
      </c>
      <c r="C16" s="40">
        <v>9</v>
      </c>
      <c r="D16" s="40">
        <v>49</v>
      </c>
      <c r="E16" s="40">
        <v>76</v>
      </c>
      <c r="F16" s="42">
        <f>3+54</f>
        <v>57</v>
      </c>
      <c r="G16" s="40">
        <f>10+1+213</f>
        <v>224</v>
      </c>
      <c r="H16" s="40">
        <f>9+9+201</f>
        <v>219</v>
      </c>
      <c r="I16" s="40">
        <v>13</v>
      </c>
      <c r="J16" s="42">
        <f>36+3+690+90</f>
        <v>819</v>
      </c>
      <c r="K16" s="38">
        <v>5</v>
      </c>
      <c r="L16" s="38">
        <v>47</v>
      </c>
      <c r="M16" s="45">
        <f t="shared" si="1"/>
        <v>1519</v>
      </c>
    </row>
    <row r="17" spans="1:13" s="7" customFormat="1" ht="28.5" customHeight="1">
      <c r="A17" s="36" t="s">
        <v>29</v>
      </c>
      <c r="B17" s="38">
        <v>0</v>
      </c>
      <c r="C17" s="40">
        <v>3</v>
      </c>
      <c r="D17" s="40">
        <v>27</v>
      </c>
      <c r="E17" s="40">
        <v>56</v>
      </c>
      <c r="F17" s="42">
        <f>2+32</f>
        <v>34</v>
      </c>
      <c r="G17" s="40">
        <f>84</f>
        <v>84</v>
      </c>
      <c r="H17" s="40">
        <f>8+6+96</f>
        <v>110</v>
      </c>
      <c r="I17" s="40">
        <v>14</v>
      </c>
      <c r="J17" s="42">
        <f>42+3+542+111</f>
        <v>698</v>
      </c>
      <c r="K17" s="38">
        <v>1</v>
      </c>
      <c r="L17" s="38">
        <v>78</v>
      </c>
      <c r="M17" s="45">
        <f t="shared" si="1"/>
        <v>1105</v>
      </c>
    </row>
    <row r="18" spans="1:13" s="7" customFormat="1" ht="28.5" customHeight="1">
      <c r="A18" s="37" t="s">
        <v>30</v>
      </c>
      <c r="B18" s="39">
        <v>0</v>
      </c>
      <c r="C18" s="41">
        <v>1</v>
      </c>
      <c r="D18" s="41">
        <v>23</v>
      </c>
      <c r="E18" s="41">
        <v>43</v>
      </c>
      <c r="F18" s="43">
        <v>66</v>
      </c>
      <c r="G18" s="41">
        <f>7+96</f>
        <v>103</v>
      </c>
      <c r="H18" s="41">
        <f>5+4+125</f>
        <v>134</v>
      </c>
      <c r="I18" s="41">
        <v>34</v>
      </c>
      <c r="J18" s="43">
        <f>22+8+1589+574</f>
        <v>2193</v>
      </c>
      <c r="K18" s="39">
        <v>46</v>
      </c>
      <c r="L18" s="39">
        <v>697</v>
      </c>
      <c r="M18" s="46">
        <f t="shared" si="1"/>
        <v>3340</v>
      </c>
    </row>
    <row r="19" spans="1:13" s="7" customFormat="1" ht="28.5" customHeight="1">
      <c r="A19" s="17" t="s">
        <v>51</v>
      </c>
      <c r="B19" s="17"/>
      <c r="C19" s="17"/>
      <c r="D19" s="4"/>
      <c r="E19" s="5"/>
      <c r="F19" s="5"/>
      <c r="G19" s="5"/>
      <c r="H19" s="5"/>
      <c r="I19" s="5"/>
      <c r="J19" s="5" t="s">
        <v>36</v>
      </c>
      <c r="K19" s="5"/>
      <c r="L19" s="5"/>
      <c r="M19" s="47"/>
    </row>
    <row r="20" ht="28.5" customHeight="1">
      <c r="A20" s="7"/>
    </row>
  </sheetData>
  <sheetProtection/>
  <mergeCells count="17">
    <mergeCell ref="I5:I6"/>
    <mergeCell ref="B5:C5"/>
    <mergeCell ref="D5:D6"/>
    <mergeCell ref="E5:E6"/>
    <mergeCell ref="F5:F6"/>
    <mergeCell ref="G5:G6"/>
    <mergeCell ref="H5:H6"/>
    <mergeCell ref="A1:M1"/>
    <mergeCell ref="A3:A6"/>
    <mergeCell ref="B3:M3"/>
    <mergeCell ref="B4:E4"/>
    <mergeCell ref="F4:G4"/>
    <mergeCell ref="H4:I4"/>
    <mergeCell ref="J4:J6"/>
    <mergeCell ref="K4:K6"/>
    <mergeCell ref="L4:L6"/>
    <mergeCell ref="M4:M6"/>
  </mergeCells>
  <printOptions horizontalCentered="1"/>
  <pageMargins left="0" right="0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J30" sqref="J30"/>
    </sheetView>
  </sheetViews>
  <sheetFormatPr defaultColWidth="9.00390625" defaultRowHeight="15.75"/>
  <cols>
    <col min="1" max="1" width="10.125" style="13" customWidth="1"/>
    <col min="2" max="2" width="5.875" style="11" customWidth="1"/>
    <col min="3" max="3" width="10.125" style="11" customWidth="1"/>
    <col min="4" max="13" width="8.75390625" style="13" customWidth="1"/>
    <col min="14" max="14" width="9.875" style="16" customWidth="1"/>
    <col min="15" max="16384" width="9.00390625" style="13" customWidth="1"/>
  </cols>
  <sheetData>
    <row r="1" spans="1:14" s="14" customFormat="1" ht="21" customHeight="1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s="14" customFormat="1" ht="21" customHeight="1">
      <c r="B2" s="9"/>
      <c r="C2" s="9"/>
      <c r="D2" s="9"/>
      <c r="E2" s="9"/>
      <c r="F2" s="54" t="s">
        <v>60</v>
      </c>
      <c r="G2" s="54"/>
      <c r="H2" s="54"/>
      <c r="I2" s="54"/>
      <c r="J2" s="54"/>
      <c r="K2" s="55" t="s">
        <v>15</v>
      </c>
      <c r="L2" s="55"/>
      <c r="N2" s="15"/>
    </row>
    <row r="3" spans="1:15" ht="18.75" customHeight="1">
      <c r="A3" s="33" t="s">
        <v>48</v>
      </c>
      <c r="B3" s="12" t="s">
        <v>49</v>
      </c>
      <c r="C3" s="12" t="s">
        <v>20</v>
      </c>
      <c r="D3" s="10" t="s">
        <v>19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27</v>
      </c>
      <c r="L3" s="10" t="s">
        <v>28</v>
      </c>
      <c r="M3" s="10" t="s">
        <v>29</v>
      </c>
      <c r="N3" s="30" t="s">
        <v>30</v>
      </c>
      <c r="O3" s="32"/>
    </row>
    <row r="4" spans="1:15" ht="15.75" customHeight="1">
      <c r="A4" s="56" t="s">
        <v>44</v>
      </c>
      <c r="B4" s="18" t="s">
        <v>45</v>
      </c>
      <c r="C4" s="21">
        <v>19321</v>
      </c>
      <c r="D4" s="21">
        <v>969</v>
      </c>
      <c r="E4" s="21">
        <v>1350</v>
      </c>
      <c r="F4" s="21">
        <v>1510</v>
      </c>
      <c r="G4" s="21">
        <v>1455</v>
      </c>
      <c r="H4" s="21">
        <v>1613</v>
      </c>
      <c r="I4" s="21">
        <v>1613</v>
      </c>
      <c r="J4" s="24">
        <v>1552</v>
      </c>
      <c r="K4" s="21">
        <v>1727</v>
      </c>
      <c r="L4" s="29">
        <v>1911</v>
      </c>
      <c r="M4" s="21">
        <v>1736</v>
      </c>
      <c r="N4" s="31">
        <v>3885</v>
      </c>
      <c r="O4" s="32"/>
    </row>
    <row r="5" spans="1:15" ht="15.75" customHeight="1">
      <c r="A5" s="56"/>
      <c r="B5" s="19" t="s">
        <v>46</v>
      </c>
      <c r="C5" s="22">
        <v>9798</v>
      </c>
      <c r="D5" s="22">
        <v>486</v>
      </c>
      <c r="E5" s="22">
        <v>698</v>
      </c>
      <c r="F5" s="22">
        <v>807</v>
      </c>
      <c r="G5" s="22">
        <v>804</v>
      </c>
      <c r="H5" s="22">
        <v>844</v>
      </c>
      <c r="I5" s="22">
        <v>791</v>
      </c>
      <c r="J5" s="25">
        <v>790</v>
      </c>
      <c r="K5" s="22">
        <v>877</v>
      </c>
      <c r="L5" s="27">
        <v>1053</v>
      </c>
      <c r="M5" s="22">
        <v>895</v>
      </c>
      <c r="N5" s="31">
        <v>1753</v>
      </c>
      <c r="O5" s="32"/>
    </row>
    <row r="6" spans="1:15" ht="15.75" customHeight="1">
      <c r="A6" s="56"/>
      <c r="B6" s="19" t="s">
        <v>47</v>
      </c>
      <c r="C6" s="22">
        <v>9523</v>
      </c>
      <c r="D6" s="22">
        <v>483</v>
      </c>
      <c r="E6" s="22">
        <v>652</v>
      </c>
      <c r="F6" s="22">
        <v>703</v>
      </c>
      <c r="G6" s="22">
        <v>651</v>
      </c>
      <c r="H6" s="22">
        <v>769</v>
      </c>
      <c r="I6" s="22">
        <v>822</v>
      </c>
      <c r="J6" s="25">
        <v>762</v>
      </c>
      <c r="K6" s="22">
        <v>850</v>
      </c>
      <c r="L6" s="27">
        <v>858</v>
      </c>
      <c r="M6" s="22">
        <v>841</v>
      </c>
      <c r="N6" s="31">
        <v>2132</v>
      </c>
      <c r="O6" s="32"/>
    </row>
    <row r="7" spans="1:15" ht="15.75" customHeight="1">
      <c r="A7" s="57" t="s">
        <v>37</v>
      </c>
      <c r="B7" s="19" t="s">
        <v>45</v>
      </c>
      <c r="C7" s="22">
        <v>27</v>
      </c>
      <c r="D7" s="22">
        <v>0</v>
      </c>
      <c r="E7" s="22">
        <v>0</v>
      </c>
      <c r="F7" s="22">
        <v>0</v>
      </c>
      <c r="G7" s="22">
        <v>3</v>
      </c>
      <c r="H7" s="22">
        <v>5</v>
      </c>
      <c r="I7" s="22">
        <v>5</v>
      </c>
      <c r="J7" s="25">
        <v>3</v>
      </c>
      <c r="K7" s="22">
        <v>3</v>
      </c>
      <c r="L7" s="27">
        <v>2</v>
      </c>
      <c r="M7" s="22">
        <v>5</v>
      </c>
      <c r="N7" s="31">
        <v>1</v>
      </c>
      <c r="O7" s="32"/>
    </row>
    <row r="8" spans="1:15" ht="15.75" customHeight="1">
      <c r="A8" s="57"/>
      <c r="B8" s="19" t="s">
        <v>46</v>
      </c>
      <c r="C8" s="22">
        <v>16</v>
      </c>
      <c r="D8" s="22">
        <v>0</v>
      </c>
      <c r="E8" s="22">
        <v>0</v>
      </c>
      <c r="F8" s="22">
        <v>0</v>
      </c>
      <c r="G8" s="22">
        <v>3</v>
      </c>
      <c r="H8" s="22">
        <v>4</v>
      </c>
      <c r="I8" s="22">
        <v>3</v>
      </c>
      <c r="J8" s="25">
        <v>1</v>
      </c>
      <c r="K8" s="22">
        <v>2</v>
      </c>
      <c r="L8" s="27">
        <v>1</v>
      </c>
      <c r="M8" s="22">
        <v>1</v>
      </c>
      <c r="N8" s="31">
        <v>1</v>
      </c>
      <c r="O8" s="32"/>
    </row>
    <row r="9" spans="1:15" ht="15.75" customHeight="1">
      <c r="A9" s="57"/>
      <c r="B9" s="19" t="s">
        <v>47</v>
      </c>
      <c r="C9" s="22">
        <v>11</v>
      </c>
      <c r="D9" s="22">
        <v>0</v>
      </c>
      <c r="E9" s="22">
        <v>0</v>
      </c>
      <c r="F9" s="22">
        <v>0</v>
      </c>
      <c r="G9" s="22">
        <v>0</v>
      </c>
      <c r="H9" s="22">
        <v>1</v>
      </c>
      <c r="I9" s="22">
        <v>2</v>
      </c>
      <c r="J9" s="25">
        <v>2</v>
      </c>
      <c r="K9" s="22">
        <v>1</v>
      </c>
      <c r="L9" s="27">
        <v>1</v>
      </c>
      <c r="M9" s="22">
        <v>4</v>
      </c>
      <c r="N9" s="31">
        <v>0</v>
      </c>
      <c r="O9" s="32"/>
    </row>
    <row r="10" spans="1:15" ht="15.75" customHeight="1">
      <c r="A10" s="57" t="s">
        <v>38</v>
      </c>
      <c r="B10" s="19" t="s">
        <v>45</v>
      </c>
      <c r="C10" s="22">
        <v>687</v>
      </c>
      <c r="D10" s="22">
        <v>0</v>
      </c>
      <c r="E10" s="22">
        <v>7</v>
      </c>
      <c r="F10" s="22">
        <v>118</v>
      </c>
      <c r="G10" s="22">
        <v>159</v>
      </c>
      <c r="H10" s="22">
        <v>130</v>
      </c>
      <c r="I10" s="22">
        <v>84</v>
      </c>
      <c r="J10" s="25">
        <v>69</v>
      </c>
      <c r="K10" s="22">
        <v>56</v>
      </c>
      <c r="L10" s="27">
        <v>39</v>
      </c>
      <c r="M10" s="22">
        <v>15</v>
      </c>
      <c r="N10" s="31">
        <v>10</v>
      </c>
      <c r="O10" s="32"/>
    </row>
    <row r="11" spans="1:15" ht="15.75" customHeight="1">
      <c r="A11" s="57"/>
      <c r="B11" s="19" t="s">
        <v>46</v>
      </c>
      <c r="C11" s="22">
        <v>421</v>
      </c>
      <c r="D11" s="22">
        <v>0</v>
      </c>
      <c r="E11" s="22">
        <v>5</v>
      </c>
      <c r="F11" s="22">
        <v>67</v>
      </c>
      <c r="G11" s="22">
        <v>103</v>
      </c>
      <c r="H11" s="22">
        <v>70</v>
      </c>
      <c r="I11" s="22">
        <v>54</v>
      </c>
      <c r="J11" s="25">
        <v>42</v>
      </c>
      <c r="K11" s="22">
        <v>34</v>
      </c>
      <c r="L11" s="27">
        <v>28</v>
      </c>
      <c r="M11" s="22">
        <v>11</v>
      </c>
      <c r="N11" s="31">
        <v>7</v>
      </c>
      <c r="O11" s="32"/>
    </row>
    <row r="12" spans="1:15" ht="15.75" customHeight="1">
      <c r="A12" s="57"/>
      <c r="B12" s="19" t="s">
        <v>47</v>
      </c>
      <c r="C12" s="22">
        <v>266</v>
      </c>
      <c r="D12" s="22">
        <v>0</v>
      </c>
      <c r="E12" s="22">
        <v>2</v>
      </c>
      <c r="F12" s="22">
        <v>51</v>
      </c>
      <c r="G12" s="22">
        <v>56</v>
      </c>
      <c r="H12" s="22">
        <v>60</v>
      </c>
      <c r="I12" s="22">
        <v>30</v>
      </c>
      <c r="J12" s="25">
        <v>27</v>
      </c>
      <c r="K12" s="22">
        <v>22</v>
      </c>
      <c r="L12" s="27">
        <v>11</v>
      </c>
      <c r="M12" s="22">
        <v>4</v>
      </c>
      <c r="N12" s="31">
        <v>3</v>
      </c>
      <c r="O12" s="32"/>
    </row>
    <row r="13" spans="1:15" ht="15.75" customHeight="1">
      <c r="A13" s="57" t="s">
        <v>39</v>
      </c>
      <c r="B13" s="19" t="s">
        <v>45</v>
      </c>
      <c r="C13" s="22">
        <v>3857</v>
      </c>
      <c r="D13" s="22">
        <v>0</v>
      </c>
      <c r="E13" s="22">
        <v>434</v>
      </c>
      <c r="F13" s="22">
        <v>935</v>
      </c>
      <c r="G13" s="22">
        <v>817</v>
      </c>
      <c r="H13" s="22">
        <v>601</v>
      </c>
      <c r="I13" s="22">
        <v>385</v>
      </c>
      <c r="J13" s="25">
        <v>231</v>
      </c>
      <c r="K13" s="22">
        <v>179</v>
      </c>
      <c r="L13" s="27">
        <v>119</v>
      </c>
      <c r="M13" s="22">
        <v>78</v>
      </c>
      <c r="N13" s="31">
        <v>78</v>
      </c>
      <c r="O13" s="32"/>
    </row>
    <row r="14" spans="1:15" ht="15.75" customHeight="1">
      <c r="A14" s="57"/>
      <c r="B14" s="19" t="s">
        <v>46</v>
      </c>
      <c r="C14" s="22">
        <v>1988</v>
      </c>
      <c r="D14" s="22">
        <v>0</v>
      </c>
      <c r="E14" s="22">
        <v>200</v>
      </c>
      <c r="F14" s="22">
        <v>467</v>
      </c>
      <c r="G14" s="22">
        <v>410</v>
      </c>
      <c r="H14" s="22">
        <v>310</v>
      </c>
      <c r="I14" s="22">
        <v>192</v>
      </c>
      <c r="J14" s="25">
        <v>119</v>
      </c>
      <c r="K14" s="22">
        <v>103</v>
      </c>
      <c r="L14" s="27">
        <v>75</v>
      </c>
      <c r="M14" s="22">
        <v>48</v>
      </c>
      <c r="N14" s="31">
        <v>64</v>
      </c>
      <c r="O14" s="32"/>
    </row>
    <row r="15" spans="1:15" ht="15.75" customHeight="1">
      <c r="A15" s="57"/>
      <c r="B15" s="19" t="s">
        <v>47</v>
      </c>
      <c r="C15" s="22">
        <v>1869</v>
      </c>
      <c r="D15" s="22">
        <v>0</v>
      </c>
      <c r="E15" s="22">
        <v>234</v>
      </c>
      <c r="F15" s="22">
        <v>468</v>
      </c>
      <c r="G15" s="22">
        <v>407</v>
      </c>
      <c r="H15" s="22">
        <v>291</v>
      </c>
      <c r="I15" s="22">
        <v>193</v>
      </c>
      <c r="J15" s="25">
        <v>112</v>
      </c>
      <c r="K15" s="22">
        <v>76</v>
      </c>
      <c r="L15" s="27">
        <v>44</v>
      </c>
      <c r="M15" s="22">
        <v>30</v>
      </c>
      <c r="N15" s="31">
        <v>14</v>
      </c>
      <c r="O15" s="32"/>
    </row>
    <row r="16" spans="1:15" ht="15.75" customHeight="1">
      <c r="A16" s="57" t="s">
        <v>40</v>
      </c>
      <c r="B16" s="19" t="s">
        <v>45</v>
      </c>
      <c r="C16" s="22">
        <v>1546</v>
      </c>
      <c r="D16" s="22">
        <v>0</v>
      </c>
      <c r="E16" s="22">
        <v>92</v>
      </c>
      <c r="F16" s="22">
        <v>71</v>
      </c>
      <c r="G16" s="22">
        <v>49</v>
      </c>
      <c r="H16" s="22">
        <v>139</v>
      </c>
      <c r="I16" s="22">
        <v>288</v>
      </c>
      <c r="J16" s="25">
        <v>283</v>
      </c>
      <c r="K16" s="22">
        <v>201</v>
      </c>
      <c r="L16" s="27">
        <v>164</v>
      </c>
      <c r="M16" s="22">
        <v>116</v>
      </c>
      <c r="N16" s="31">
        <v>143</v>
      </c>
      <c r="O16" s="32"/>
    </row>
    <row r="17" spans="1:15" ht="15.75" customHeight="1">
      <c r="A17" s="57"/>
      <c r="B17" s="19" t="s">
        <v>46</v>
      </c>
      <c r="C17" s="22">
        <v>917</v>
      </c>
      <c r="D17" s="22">
        <v>0</v>
      </c>
      <c r="E17" s="22">
        <v>37</v>
      </c>
      <c r="F17" s="22">
        <v>41</v>
      </c>
      <c r="G17" s="22">
        <v>31</v>
      </c>
      <c r="H17" s="22">
        <v>74</v>
      </c>
      <c r="I17" s="22">
        <v>136</v>
      </c>
      <c r="J17" s="25">
        <v>149</v>
      </c>
      <c r="K17" s="22">
        <v>121</v>
      </c>
      <c r="L17" s="27">
        <v>119</v>
      </c>
      <c r="M17" s="22">
        <v>92</v>
      </c>
      <c r="N17" s="31">
        <v>117</v>
      </c>
      <c r="O17" s="32"/>
    </row>
    <row r="18" spans="1:15" ht="15.75" customHeight="1">
      <c r="A18" s="57"/>
      <c r="B18" s="19" t="s">
        <v>47</v>
      </c>
      <c r="C18" s="22">
        <v>629</v>
      </c>
      <c r="D18" s="22">
        <v>0</v>
      </c>
      <c r="E18" s="22">
        <v>55</v>
      </c>
      <c r="F18" s="22">
        <v>30</v>
      </c>
      <c r="G18" s="22">
        <v>18</v>
      </c>
      <c r="H18" s="22">
        <v>65</v>
      </c>
      <c r="I18" s="22">
        <v>152</v>
      </c>
      <c r="J18" s="25">
        <v>134</v>
      </c>
      <c r="K18" s="22">
        <v>80</v>
      </c>
      <c r="L18" s="27">
        <v>45</v>
      </c>
      <c r="M18" s="22">
        <v>24</v>
      </c>
      <c r="N18" s="31">
        <v>26</v>
      </c>
      <c r="O18" s="32"/>
    </row>
    <row r="19" spans="1:15" ht="15.75" customHeight="1">
      <c r="A19" s="57" t="s">
        <v>41</v>
      </c>
      <c r="B19" s="19" t="s">
        <v>45</v>
      </c>
      <c r="C19" s="22">
        <v>6128</v>
      </c>
      <c r="D19" s="22">
        <v>284</v>
      </c>
      <c r="E19" s="22">
        <v>764</v>
      </c>
      <c r="F19" s="22">
        <v>332</v>
      </c>
      <c r="G19" s="22">
        <v>338</v>
      </c>
      <c r="H19" s="22">
        <v>513</v>
      </c>
      <c r="I19" s="22">
        <v>646</v>
      </c>
      <c r="J19" s="25">
        <v>669</v>
      </c>
      <c r="K19" s="22">
        <v>818</v>
      </c>
      <c r="L19" s="27">
        <v>757</v>
      </c>
      <c r="M19" s="22">
        <v>576</v>
      </c>
      <c r="N19" s="31">
        <v>431</v>
      </c>
      <c r="O19" s="32"/>
    </row>
    <row r="20" spans="1:15" ht="15.75" customHeight="1">
      <c r="A20" s="57"/>
      <c r="B20" s="19" t="s">
        <v>46</v>
      </c>
      <c r="C20" s="22">
        <v>3468</v>
      </c>
      <c r="D20" s="22">
        <v>143</v>
      </c>
      <c r="E20" s="22">
        <v>427</v>
      </c>
      <c r="F20" s="22">
        <v>205</v>
      </c>
      <c r="G20" s="22">
        <v>211</v>
      </c>
      <c r="H20" s="22">
        <v>289</v>
      </c>
      <c r="I20" s="22">
        <v>333</v>
      </c>
      <c r="J20" s="25">
        <v>330</v>
      </c>
      <c r="K20" s="22">
        <v>402</v>
      </c>
      <c r="L20" s="27">
        <v>437</v>
      </c>
      <c r="M20" s="22">
        <v>370</v>
      </c>
      <c r="N20" s="31">
        <v>321</v>
      </c>
      <c r="O20" s="32"/>
    </row>
    <row r="21" spans="1:15" ht="15.75" customHeight="1">
      <c r="A21" s="57"/>
      <c r="B21" s="19" t="s">
        <v>47</v>
      </c>
      <c r="C21" s="22">
        <v>2660</v>
      </c>
      <c r="D21" s="22">
        <v>141</v>
      </c>
      <c r="E21" s="22">
        <v>337</v>
      </c>
      <c r="F21" s="22">
        <v>127</v>
      </c>
      <c r="G21" s="22">
        <v>127</v>
      </c>
      <c r="H21" s="22">
        <v>224</v>
      </c>
      <c r="I21" s="22">
        <v>313</v>
      </c>
      <c r="J21" s="25">
        <v>339</v>
      </c>
      <c r="K21" s="22">
        <v>416</v>
      </c>
      <c r="L21" s="27">
        <v>320</v>
      </c>
      <c r="M21" s="22">
        <v>206</v>
      </c>
      <c r="N21" s="31">
        <v>110</v>
      </c>
      <c r="O21" s="32"/>
    </row>
    <row r="22" spans="1:15" ht="15.75" customHeight="1">
      <c r="A22" s="57" t="s">
        <v>43</v>
      </c>
      <c r="B22" s="19" t="s">
        <v>45</v>
      </c>
      <c r="C22" s="22">
        <v>3337</v>
      </c>
      <c r="D22" s="22">
        <v>620</v>
      </c>
      <c r="E22" s="22">
        <v>53</v>
      </c>
      <c r="F22" s="22">
        <v>54</v>
      </c>
      <c r="G22" s="22">
        <v>78</v>
      </c>
      <c r="H22" s="22">
        <v>196</v>
      </c>
      <c r="I22" s="22">
        <v>163</v>
      </c>
      <c r="J22" s="25">
        <v>258</v>
      </c>
      <c r="K22" s="22">
        <v>408</v>
      </c>
      <c r="L22" s="27">
        <v>636</v>
      </c>
      <c r="M22" s="22">
        <v>492</v>
      </c>
      <c r="N22" s="31">
        <v>379</v>
      </c>
      <c r="O22" s="32"/>
    </row>
    <row r="23" spans="1:15" ht="15.75" customHeight="1">
      <c r="A23" s="57"/>
      <c r="B23" s="19" t="s">
        <v>46</v>
      </c>
      <c r="C23" s="22">
        <v>1720</v>
      </c>
      <c r="D23" s="22">
        <v>309</v>
      </c>
      <c r="E23" s="22">
        <v>29</v>
      </c>
      <c r="F23" s="22">
        <v>27</v>
      </c>
      <c r="G23" s="22">
        <v>46</v>
      </c>
      <c r="H23" s="22">
        <v>97</v>
      </c>
      <c r="I23" s="22">
        <v>72</v>
      </c>
      <c r="J23" s="25">
        <v>137</v>
      </c>
      <c r="K23" s="22">
        <v>193</v>
      </c>
      <c r="L23" s="27">
        <v>340</v>
      </c>
      <c r="M23" s="22">
        <v>247</v>
      </c>
      <c r="N23" s="31">
        <v>223</v>
      </c>
      <c r="O23" s="32"/>
    </row>
    <row r="24" spans="1:15" ht="15.75" customHeight="1">
      <c r="A24" s="57"/>
      <c r="B24" s="19" t="s">
        <v>47</v>
      </c>
      <c r="C24" s="22">
        <v>1617</v>
      </c>
      <c r="D24" s="22">
        <v>311</v>
      </c>
      <c r="E24" s="22">
        <v>24</v>
      </c>
      <c r="F24" s="22">
        <v>27</v>
      </c>
      <c r="G24" s="22">
        <v>32</v>
      </c>
      <c r="H24" s="22">
        <v>99</v>
      </c>
      <c r="I24" s="22">
        <v>91</v>
      </c>
      <c r="J24" s="25">
        <v>121</v>
      </c>
      <c r="K24" s="22">
        <v>215</v>
      </c>
      <c r="L24" s="27">
        <v>296</v>
      </c>
      <c r="M24" s="22">
        <v>245</v>
      </c>
      <c r="N24" s="31">
        <v>156</v>
      </c>
      <c r="O24" s="32"/>
    </row>
    <row r="25" spans="1:15" ht="15.75" customHeight="1">
      <c r="A25" s="58" t="s">
        <v>61</v>
      </c>
      <c r="B25" s="19" t="s">
        <v>45</v>
      </c>
      <c r="C25" s="22">
        <v>3739</v>
      </c>
      <c r="D25" s="22">
        <v>65</v>
      </c>
      <c r="E25" s="22">
        <v>0</v>
      </c>
      <c r="F25" s="22">
        <v>0</v>
      </c>
      <c r="G25" s="22">
        <v>11</v>
      </c>
      <c r="H25" s="22">
        <v>29</v>
      </c>
      <c r="I25" s="22">
        <v>42</v>
      </c>
      <c r="J25" s="25">
        <v>39</v>
      </c>
      <c r="K25" s="22">
        <v>62</v>
      </c>
      <c r="L25" s="27">
        <v>194</v>
      </c>
      <c r="M25" s="22">
        <v>454</v>
      </c>
      <c r="N25" s="31">
        <v>2843</v>
      </c>
      <c r="O25" s="32"/>
    </row>
    <row r="26" spans="1:15" ht="15.75" customHeight="1">
      <c r="A26" s="57"/>
      <c r="B26" s="19" t="s">
        <v>46</v>
      </c>
      <c r="C26" s="22">
        <v>1268</v>
      </c>
      <c r="D26" s="22">
        <v>34</v>
      </c>
      <c r="E26" s="22">
        <v>0</v>
      </c>
      <c r="F26" s="22">
        <v>0</v>
      </c>
      <c r="G26" s="22">
        <v>0</v>
      </c>
      <c r="H26" s="22">
        <v>0</v>
      </c>
      <c r="I26" s="22">
        <v>1</v>
      </c>
      <c r="J26" s="25">
        <v>12</v>
      </c>
      <c r="K26" s="22">
        <v>22</v>
      </c>
      <c r="L26" s="27">
        <v>53</v>
      </c>
      <c r="M26" s="22">
        <v>126</v>
      </c>
      <c r="N26" s="31">
        <v>1020</v>
      </c>
      <c r="O26" s="32"/>
    </row>
    <row r="27" spans="1:15" ht="15.75" customHeight="1">
      <c r="A27" s="57"/>
      <c r="B27" s="19" t="s">
        <v>47</v>
      </c>
      <c r="C27" s="22">
        <v>2471</v>
      </c>
      <c r="D27" s="22">
        <v>31</v>
      </c>
      <c r="E27" s="22">
        <v>0</v>
      </c>
      <c r="F27" s="22">
        <v>0</v>
      </c>
      <c r="G27" s="22">
        <v>11</v>
      </c>
      <c r="H27" s="22">
        <v>29</v>
      </c>
      <c r="I27" s="22">
        <v>41</v>
      </c>
      <c r="J27" s="25">
        <v>27</v>
      </c>
      <c r="K27" s="22">
        <v>40</v>
      </c>
      <c r="L27" s="27">
        <v>141</v>
      </c>
      <c r="M27" s="22">
        <v>328</v>
      </c>
      <c r="N27" s="31">
        <v>1823</v>
      </c>
      <c r="O27" s="32"/>
    </row>
    <row r="28" spans="1:15" ht="15.75" customHeight="1">
      <c r="A28" s="3" t="s">
        <v>32</v>
      </c>
      <c r="B28" s="3"/>
      <c r="C28" s="3"/>
      <c r="D28" s="4"/>
      <c r="E28" s="5"/>
      <c r="F28" s="5"/>
      <c r="G28" s="5"/>
      <c r="H28" s="5"/>
      <c r="I28" s="5"/>
      <c r="J28" s="5" t="s">
        <v>56</v>
      </c>
      <c r="K28" s="5"/>
      <c r="L28" s="5"/>
      <c r="M28" s="6"/>
      <c r="N28" s="2"/>
      <c r="O28" s="32"/>
    </row>
    <row r="29" ht="15.75" customHeight="1">
      <c r="O29" s="32"/>
    </row>
    <row r="30" ht="15.75" customHeight="1">
      <c r="O30" s="32"/>
    </row>
    <row r="31" ht="15.75" customHeight="1">
      <c r="O31" s="32"/>
    </row>
    <row r="32" ht="15.75" customHeight="1">
      <c r="O32" s="32"/>
    </row>
    <row r="33" ht="15.75" customHeight="1">
      <c r="O33" s="32"/>
    </row>
    <row r="34" spans="1:15" s="2" customFormat="1" ht="19.5" customHeight="1">
      <c r="A34" s="13"/>
      <c r="B34" s="11"/>
      <c r="C34" s="11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6"/>
      <c r="O34" s="7"/>
    </row>
  </sheetData>
  <sheetProtection/>
  <mergeCells count="11">
    <mergeCell ref="A1:N1"/>
    <mergeCell ref="F2:J2"/>
    <mergeCell ref="K2:L2"/>
    <mergeCell ref="A4:A6"/>
    <mergeCell ref="A7:A9"/>
    <mergeCell ref="A10:A12"/>
    <mergeCell ref="A13:A15"/>
    <mergeCell ref="A16:A18"/>
    <mergeCell ref="A19:A21"/>
    <mergeCell ref="A22:A24"/>
    <mergeCell ref="A25:A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7">
      <selection activeCell="P24" sqref="P24"/>
    </sheetView>
  </sheetViews>
  <sheetFormatPr defaultColWidth="9.00390625" defaultRowHeight="15.75"/>
  <cols>
    <col min="1" max="1" width="10.125" style="13" customWidth="1"/>
    <col min="2" max="2" width="5.875" style="11" customWidth="1"/>
    <col min="3" max="3" width="10.125" style="11" customWidth="1"/>
    <col min="4" max="13" width="8.75390625" style="13" customWidth="1"/>
    <col min="14" max="14" width="9.875" style="16" customWidth="1"/>
    <col min="15" max="16384" width="9.00390625" style="13" customWidth="1"/>
  </cols>
  <sheetData>
    <row r="1" spans="1:14" s="14" customFormat="1" ht="21" customHeight="1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s="14" customFormat="1" ht="21" customHeight="1">
      <c r="B2" s="9"/>
      <c r="C2" s="9"/>
      <c r="D2" s="9"/>
      <c r="E2" s="9"/>
      <c r="F2" s="54" t="s">
        <v>59</v>
      </c>
      <c r="G2" s="54"/>
      <c r="H2" s="54"/>
      <c r="I2" s="54"/>
      <c r="J2" s="54"/>
      <c r="K2" s="55" t="s">
        <v>15</v>
      </c>
      <c r="L2" s="55"/>
      <c r="N2" s="15"/>
    </row>
    <row r="3" spans="1:15" ht="18.75" customHeight="1">
      <c r="A3" s="33" t="s">
        <v>48</v>
      </c>
      <c r="B3" s="12" t="s">
        <v>49</v>
      </c>
      <c r="C3" s="12" t="s">
        <v>20</v>
      </c>
      <c r="D3" s="10" t="s">
        <v>19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27</v>
      </c>
      <c r="L3" s="10" t="s">
        <v>28</v>
      </c>
      <c r="M3" s="10" t="s">
        <v>29</v>
      </c>
      <c r="N3" s="30" t="s">
        <v>30</v>
      </c>
      <c r="O3" s="32"/>
    </row>
    <row r="4" spans="1:15" ht="15.75" customHeight="1">
      <c r="A4" s="56" t="s">
        <v>44</v>
      </c>
      <c r="B4" s="18" t="s">
        <v>45</v>
      </c>
      <c r="C4" s="21">
        <v>19368</v>
      </c>
      <c r="D4" s="21">
        <v>1041</v>
      </c>
      <c r="E4" s="21">
        <v>1358</v>
      </c>
      <c r="F4" s="21">
        <v>1555</v>
      </c>
      <c r="G4" s="21">
        <v>1449</v>
      </c>
      <c r="H4" s="21">
        <v>1611</v>
      </c>
      <c r="I4" s="21">
        <v>1640</v>
      </c>
      <c r="J4" s="24">
        <v>1564</v>
      </c>
      <c r="K4" s="21">
        <v>1746</v>
      </c>
      <c r="L4" s="29">
        <v>1979</v>
      </c>
      <c r="M4" s="21">
        <v>1651</v>
      </c>
      <c r="N4" s="31">
        <v>3777</v>
      </c>
      <c r="O4" s="32"/>
    </row>
    <row r="5" spans="1:15" ht="15.75" customHeight="1">
      <c r="A5" s="56"/>
      <c r="B5" s="19" t="s">
        <v>46</v>
      </c>
      <c r="C5" s="22">
        <v>9846</v>
      </c>
      <c r="D5" s="22">
        <v>517</v>
      </c>
      <c r="E5" s="22">
        <v>711</v>
      </c>
      <c r="F5" s="22">
        <v>847</v>
      </c>
      <c r="G5" s="22">
        <v>778</v>
      </c>
      <c r="H5" s="22">
        <v>841</v>
      </c>
      <c r="I5" s="22">
        <v>810</v>
      </c>
      <c r="J5" s="25">
        <v>808</v>
      </c>
      <c r="K5" s="22">
        <v>900</v>
      </c>
      <c r="L5" s="27">
        <v>1071</v>
      </c>
      <c r="M5" s="22">
        <v>856</v>
      </c>
      <c r="N5" s="31">
        <v>1707</v>
      </c>
      <c r="O5" s="32"/>
    </row>
    <row r="6" spans="1:15" ht="15.75" customHeight="1">
      <c r="A6" s="56"/>
      <c r="B6" s="19" t="s">
        <v>47</v>
      </c>
      <c r="C6" s="22">
        <v>9522</v>
      </c>
      <c r="D6" s="22">
        <v>524</v>
      </c>
      <c r="E6" s="22">
        <v>647</v>
      </c>
      <c r="F6" s="22">
        <v>708</v>
      </c>
      <c r="G6" s="22">
        <v>668</v>
      </c>
      <c r="H6" s="22">
        <v>770</v>
      </c>
      <c r="I6" s="22">
        <v>830</v>
      </c>
      <c r="J6" s="25">
        <v>756</v>
      </c>
      <c r="K6" s="22">
        <v>846</v>
      </c>
      <c r="L6" s="27">
        <v>908</v>
      </c>
      <c r="M6" s="22">
        <v>795</v>
      </c>
      <c r="N6" s="31">
        <v>2070</v>
      </c>
      <c r="O6" s="32"/>
    </row>
    <row r="7" spans="1:15" ht="15.75" customHeight="1">
      <c r="A7" s="57" t="s">
        <v>37</v>
      </c>
      <c r="B7" s="19" t="s">
        <v>45</v>
      </c>
      <c r="C7" s="22">
        <v>22</v>
      </c>
      <c r="D7" s="22">
        <v>0</v>
      </c>
      <c r="E7" s="22">
        <v>0</v>
      </c>
      <c r="F7" s="22">
        <v>0</v>
      </c>
      <c r="G7" s="22">
        <v>3</v>
      </c>
      <c r="H7" s="22">
        <v>5</v>
      </c>
      <c r="I7" s="22">
        <v>2</v>
      </c>
      <c r="J7" s="25">
        <v>3</v>
      </c>
      <c r="K7" s="22">
        <v>4</v>
      </c>
      <c r="L7" s="27">
        <v>2</v>
      </c>
      <c r="M7" s="22">
        <v>3</v>
      </c>
      <c r="N7" s="31">
        <v>0</v>
      </c>
      <c r="O7" s="32"/>
    </row>
    <row r="8" spans="1:15" ht="15.75" customHeight="1">
      <c r="A8" s="57"/>
      <c r="B8" s="19" t="s">
        <v>46</v>
      </c>
      <c r="C8" s="22">
        <v>12</v>
      </c>
      <c r="D8" s="22">
        <v>0</v>
      </c>
      <c r="E8" s="22">
        <v>0</v>
      </c>
      <c r="F8" s="22">
        <v>0</v>
      </c>
      <c r="G8" s="22">
        <v>3</v>
      </c>
      <c r="H8" s="22">
        <v>4</v>
      </c>
      <c r="I8" s="22">
        <v>0</v>
      </c>
      <c r="J8" s="25">
        <v>1</v>
      </c>
      <c r="K8" s="22">
        <v>3</v>
      </c>
      <c r="L8" s="27">
        <v>0</v>
      </c>
      <c r="M8" s="22">
        <v>1</v>
      </c>
      <c r="N8" s="31">
        <v>0</v>
      </c>
      <c r="O8" s="32"/>
    </row>
    <row r="9" spans="1:15" ht="15.75" customHeight="1">
      <c r="A9" s="57"/>
      <c r="B9" s="19" t="s">
        <v>47</v>
      </c>
      <c r="C9" s="22">
        <v>10</v>
      </c>
      <c r="D9" s="22">
        <v>0</v>
      </c>
      <c r="E9" s="22">
        <v>0</v>
      </c>
      <c r="F9" s="22">
        <v>0</v>
      </c>
      <c r="G9" s="22" t="s">
        <v>58</v>
      </c>
      <c r="H9" s="22">
        <v>1</v>
      </c>
      <c r="I9" s="22">
        <v>2</v>
      </c>
      <c r="J9" s="25">
        <v>2</v>
      </c>
      <c r="K9" s="22">
        <v>1</v>
      </c>
      <c r="L9" s="27">
        <v>2</v>
      </c>
      <c r="M9" s="22">
        <v>2</v>
      </c>
      <c r="N9" s="31">
        <v>0</v>
      </c>
      <c r="O9" s="32"/>
    </row>
    <row r="10" spans="1:15" ht="15.75" customHeight="1">
      <c r="A10" s="57" t="s">
        <v>38</v>
      </c>
      <c r="B10" s="19" t="s">
        <v>45</v>
      </c>
      <c r="C10" s="22">
        <v>653</v>
      </c>
      <c r="D10" s="22">
        <v>0</v>
      </c>
      <c r="E10" s="22">
        <v>9</v>
      </c>
      <c r="F10" s="22">
        <v>131</v>
      </c>
      <c r="G10" s="22">
        <v>143</v>
      </c>
      <c r="H10" s="22">
        <v>119</v>
      </c>
      <c r="I10" s="22">
        <v>83</v>
      </c>
      <c r="J10" s="25">
        <v>62</v>
      </c>
      <c r="K10" s="22">
        <v>51</v>
      </c>
      <c r="L10" s="27">
        <v>34</v>
      </c>
      <c r="M10" s="22">
        <v>12</v>
      </c>
      <c r="N10" s="31">
        <v>9</v>
      </c>
      <c r="O10" s="32"/>
    </row>
    <row r="11" spans="1:15" ht="15.75" customHeight="1">
      <c r="A11" s="57"/>
      <c r="B11" s="19" t="s">
        <v>46</v>
      </c>
      <c r="C11" s="22">
        <v>409</v>
      </c>
      <c r="D11" s="22">
        <v>0</v>
      </c>
      <c r="E11" s="22">
        <v>4</v>
      </c>
      <c r="F11" s="22">
        <v>84</v>
      </c>
      <c r="G11" s="22">
        <v>88</v>
      </c>
      <c r="H11" s="22">
        <v>73</v>
      </c>
      <c r="I11" s="22">
        <v>49</v>
      </c>
      <c r="J11" s="25">
        <v>40</v>
      </c>
      <c r="K11" s="22">
        <v>30</v>
      </c>
      <c r="L11" s="27">
        <v>26</v>
      </c>
      <c r="M11" s="22">
        <v>9</v>
      </c>
      <c r="N11" s="31">
        <v>6</v>
      </c>
      <c r="O11" s="32"/>
    </row>
    <row r="12" spans="1:15" ht="15.75" customHeight="1">
      <c r="A12" s="57"/>
      <c r="B12" s="19" t="s">
        <v>47</v>
      </c>
      <c r="C12" s="22">
        <v>244</v>
      </c>
      <c r="D12" s="22">
        <v>0</v>
      </c>
      <c r="E12" s="22">
        <v>5</v>
      </c>
      <c r="F12" s="22">
        <v>47</v>
      </c>
      <c r="G12" s="22">
        <v>55</v>
      </c>
      <c r="H12" s="22">
        <v>46</v>
      </c>
      <c r="I12" s="22">
        <v>34</v>
      </c>
      <c r="J12" s="25">
        <v>22</v>
      </c>
      <c r="K12" s="22">
        <v>21</v>
      </c>
      <c r="L12" s="27">
        <v>8</v>
      </c>
      <c r="M12" s="22">
        <v>3</v>
      </c>
      <c r="N12" s="31">
        <v>3</v>
      </c>
      <c r="O12" s="32"/>
    </row>
    <row r="13" spans="1:15" ht="15.75" customHeight="1">
      <c r="A13" s="57" t="s">
        <v>39</v>
      </c>
      <c r="B13" s="19" t="s">
        <v>45</v>
      </c>
      <c r="C13" s="22">
        <v>3724</v>
      </c>
      <c r="D13" s="22">
        <v>0</v>
      </c>
      <c r="E13" s="22">
        <v>439</v>
      </c>
      <c r="F13" s="22">
        <v>961</v>
      </c>
      <c r="G13" s="22">
        <v>772</v>
      </c>
      <c r="H13" s="22">
        <v>549</v>
      </c>
      <c r="I13" s="22">
        <v>356</v>
      </c>
      <c r="J13" s="25">
        <v>231</v>
      </c>
      <c r="K13" s="22">
        <v>161</v>
      </c>
      <c r="L13" s="27">
        <v>117</v>
      </c>
      <c r="M13" s="22">
        <v>65</v>
      </c>
      <c r="N13" s="31">
        <v>73</v>
      </c>
      <c r="O13" s="32"/>
    </row>
    <row r="14" spans="1:15" ht="15.75" customHeight="1">
      <c r="A14" s="57"/>
      <c r="B14" s="19" t="s">
        <v>46</v>
      </c>
      <c r="C14" s="22">
        <v>1926</v>
      </c>
      <c r="D14" s="22">
        <v>0</v>
      </c>
      <c r="E14" s="22">
        <v>210</v>
      </c>
      <c r="F14" s="22">
        <v>477</v>
      </c>
      <c r="G14" s="22">
        <v>389</v>
      </c>
      <c r="H14" s="22">
        <v>284</v>
      </c>
      <c r="I14" s="22">
        <v>171</v>
      </c>
      <c r="J14" s="25">
        <v>130</v>
      </c>
      <c r="K14" s="22">
        <v>90</v>
      </c>
      <c r="L14" s="27">
        <v>73</v>
      </c>
      <c r="M14" s="22">
        <v>42</v>
      </c>
      <c r="N14" s="31">
        <v>60</v>
      </c>
      <c r="O14" s="32"/>
    </row>
    <row r="15" spans="1:15" ht="15.75" customHeight="1">
      <c r="A15" s="57"/>
      <c r="B15" s="19" t="s">
        <v>47</v>
      </c>
      <c r="C15" s="22">
        <v>1798</v>
      </c>
      <c r="D15" s="22">
        <v>0</v>
      </c>
      <c r="E15" s="22">
        <v>229</v>
      </c>
      <c r="F15" s="22">
        <v>484</v>
      </c>
      <c r="G15" s="22">
        <v>383</v>
      </c>
      <c r="H15" s="22">
        <v>265</v>
      </c>
      <c r="I15" s="22">
        <v>185</v>
      </c>
      <c r="J15" s="25">
        <v>101</v>
      </c>
      <c r="K15" s="22">
        <v>71</v>
      </c>
      <c r="L15" s="27">
        <v>44</v>
      </c>
      <c r="M15" s="22">
        <v>23</v>
      </c>
      <c r="N15" s="31">
        <v>13</v>
      </c>
      <c r="O15" s="32"/>
    </row>
    <row r="16" spans="1:15" ht="15.75" customHeight="1">
      <c r="A16" s="57" t="s">
        <v>40</v>
      </c>
      <c r="B16" s="19" t="s">
        <v>45</v>
      </c>
      <c r="C16" s="22">
        <v>1553</v>
      </c>
      <c r="D16" s="22">
        <v>0</v>
      </c>
      <c r="E16" s="22">
        <v>106</v>
      </c>
      <c r="F16" s="22">
        <v>62</v>
      </c>
      <c r="G16" s="22">
        <v>59</v>
      </c>
      <c r="H16" s="22">
        <v>166</v>
      </c>
      <c r="I16" s="22">
        <v>304</v>
      </c>
      <c r="J16" s="25">
        <v>271</v>
      </c>
      <c r="K16" s="22">
        <v>188</v>
      </c>
      <c r="L16" s="27">
        <v>157</v>
      </c>
      <c r="M16" s="22">
        <v>111</v>
      </c>
      <c r="N16" s="31">
        <v>129</v>
      </c>
      <c r="O16" s="32"/>
    </row>
    <row r="17" spans="1:15" ht="15.75" customHeight="1">
      <c r="A17" s="57"/>
      <c r="B17" s="19" t="s">
        <v>46</v>
      </c>
      <c r="C17" s="22">
        <v>917</v>
      </c>
      <c r="D17" s="22">
        <v>0</v>
      </c>
      <c r="E17" s="22">
        <v>38</v>
      </c>
      <c r="F17" s="22">
        <v>40</v>
      </c>
      <c r="G17" s="22">
        <v>39</v>
      </c>
      <c r="H17" s="22">
        <v>73</v>
      </c>
      <c r="I17" s="22">
        <v>155</v>
      </c>
      <c r="J17" s="25">
        <v>141</v>
      </c>
      <c r="K17" s="22">
        <v>124</v>
      </c>
      <c r="L17" s="27">
        <v>112</v>
      </c>
      <c r="M17" s="22">
        <v>92</v>
      </c>
      <c r="N17" s="31">
        <v>103</v>
      </c>
      <c r="O17" s="32"/>
    </row>
    <row r="18" spans="1:15" ht="15.75" customHeight="1">
      <c r="A18" s="57"/>
      <c r="B18" s="19" t="s">
        <v>47</v>
      </c>
      <c r="C18" s="22">
        <v>636</v>
      </c>
      <c r="D18" s="22">
        <v>0</v>
      </c>
      <c r="E18" s="22">
        <v>68</v>
      </c>
      <c r="F18" s="22">
        <v>22</v>
      </c>
      <c r="G18" s="22">
        <v>20</v>
      </c>
      <c r="H18" s="22">
        <v>93</v>
      </c>
      <c r="I18" s="22">
        <v>149</v>
      </c>
      <c r="J18" s="25">
        <v>130</v>
      </c>
      <c r="K18" s="22">
        <v>64</v>
      </c>
      <c r="L18" s="27">
        <v>45</v>
      </c>
      <c r="M18" s="22">
        <v>19</v>
      </c>
      <c r="N18" s="31">
        <v>26</v>
      </c>
      <c r="O18" s="32"/>
    </row>
    <row r="19" spans="1:15" ht="15.75" customHeight="1">
      <c r="A19" s="57" t="s">
        <v>41</v>
      </c>
      <c r="B19" s="19" t="s">
        <v>45</v>
      </c>
      <c r="C19" s="22">
        <v>6170</v>
      </c>
      <c r="D19" s="22">
        <v>335</v>
      </c>
      <c r="E19" s="22">
        <v>766</v>
      </c>
      <c r="F19" s="22">
        <v>348</v>
      </c>
      <c r="G19" s="22">
        <v>348</v>
      </c>
      <c r="H19" s="22">
        <v>565</v>
      </c>
      <c r="I19" s="22">
        <v>675</v>
      </c>
      <c r="J19" s="25">
        <v>666</v>
      </c>
      <c r="K19" s="22">
        <v>810</v>
      </c>
      <c r="L19" s="27">
        <v>767</v>
      </c>
      <c r="M19" s="22">
        <v>526</v>
      </c>
      <c r="N19" s="31">
        <v>364</v>
      </c>
      <c r="O19" s="32"/>
    </row>
    <row r="20" spans="1:15" ht="15.75" customHeight="1">
      <c r="A20" s="57"/>
      <c r="B20" s="19" t="s">
        <v>46</v>
      </c>
      <c r="C20" s="22">
        <v>3502</v>
      </c>
      <c r="D20" s="22">
        <v>165</v>
      </c>
      <c r="E20" s="22">
        <v>440</v>
      </c>
      <c r="F20" s="22">
        <v>216</v>
      </c>
      <c r="G20" s="22">
        <v>200</v>
      </c>
      <c r="H20" s="22">
        <v>319</v>
      </c>
      <c r="I20" s="22">
        <v>354</v>
      </c>
      <c r="J20" s="25">
        <v>329</v>
      </c>
      <c r="K20" s="22">
        <v>403</v>
      </c>
      <c r="L20" s="27">
        <v>446</v>
      </c>
      <c r="M20" s="22">
        <v>349</v>
      </c>
      <c r="N20" s="31">
        <v>281</v>
      </c>
      <c r="O20" s="32"/>
    </row>
    <row r="21" spans="1:15" ht="15.75" customHeight="1">
      <c r="A21" s="57"/>
      <c r="B21" s="19" t="s">
        <v>47</v>
      </c>
      <c r="C21" s="22">
        <v>2668</v>
      </c>
      <c r="D21" s="22">
        <v>170</v>
      </c>
      <c r="E21" s="22">
        <v>326</v>
      </c>
      <c r="F21" s="22">
        <v>132</v>
      </c>
      <c r="G21" s="22">
        <v>148</v>
      </c>
      <c r="H21" s="22">
        <v>246</v>
      </c>
      <c r="I21" s="22">
        <v>321</v>
      </c>
      <c r="J21" s="25">
        <v>337</v>
      </c>
      <c r="K21" s="22">
        <v>407</v>
      </c>
      <c r="L21" s="27">
        <v>321</v>
      </c>
      <c r="M21" s="22">
        <v>177</v>
      </c>
      <c r="N21" s="31">
        <v>83</v>
      </c>
      <c r="O21" s="32"/>
    </row>
    <row r="22" spans="1:15" ht="15.75" customHeight="1">
      <c r="A22" s="57" t="s">
        <v>43</v>
      </c>
      <c r="B22" s="19" t="s">
        <v>45</v>
      </c>
      <c r="C22" s="22">
        <v>3339</v>
      </c>
      <c r="D22" s="22">
        <v>633</v>
      </c>
      <c r="E22" s="22">
        <v>38</v>
      </c>
      <c r="F22" s="22">
        <v>52</v>
      </c>
      <c r="G22" s="22">
        <v>105</v>
      </c>
      <c r="H22" s="22">
        <v>178</v>
      </c>
      <c r="I22" s="22">
        <v>176</v>
      </c>
      <c r="J22" s="25">
        <v>293</v>
      </c>
      <c r="K22" s="22">
        <v>457</v>
      </c>
      <c r="L22" s="27">
        <v>657</v>
      </c>
      <c r="M22" s="22">
        <v>406</v>
      </c>
      <c r="N22" s="31">
        <v>344</v>
      </c>
      <c r="O22" s="32"/>
    </row>
    <row r="23" spans="1:15" ht="15.75" customHeight="1">
      <c r="A23" s="57"/>
      <c r="B23" s="19" t="s">
        <v>46</v>
      </c>
      <c r="C23" s="22">
        <v>1729</v>
      </c>
      <c r="D23" s="22">
        <v>311</v>
      </c>
      <c r="E23" s="22">
        <v>19</v>
      </c>
      <c r="F23" s="22">
        <v>30</v>
      </c>
      <c r="G23" s="22">
        <v>59</v>
      </c>
      <c r="H23" s="22">
        <v>88</v>
      </c>
      <c r="I23" s="22">
        <v>77</v>
      </c>
      <c r="J23" s="25">
        <v>154</v>
      </c>
      <c r="K23" s="22">
        <v>225</v>
      </c>
      <c r="L23" s="27">
        <v>347</v>
      </c>
      <c r="M23" s="22">
        <v>215</v>
      </c>
      <c r="N23" s="31">
        <v>204</v>
      </c>
      <c r="O23" s="32"/>
    </row>
    <row r="24" spans="1:15" ht="15.75" customHeight="1">
      <c r="A24" s="57"/>
      <c r="B24" s="19" t="s">
        <v>47</v>
      </c>
      <c r="C24" s="22">
        <v>1610</v>
      </c>
      <c r="D24" s="22">
        <v>322</v>
      </c>
      <c r="E24" s="22">
        <v>19</v>
      </c>
      <c r="F24" s="22">
        <v>22</v>
      </c>
      <c r="G24" s="22">
        <v>46</v>
      </c>
      <c r="H24" s="22">
        <v>90</v>
      </c>
      <c r="I24" s="22">
        <v>99</v>
      </c>
      <c r="J24" s="25">
        <v>139</v>
      </c>
      <c r="K24" s="22">
        <v>232</v>
      </c>
      <c r="L24" s="27">
        <v>310</v>
      </c>
      <c r="M24" s="22">
        <v>191</v>
      </c>
      <c r="N24" s="31">
        <v>140</v>
      </c>
      <c r="O24" s="32"/>
    </row>
    <row r="25" spans="1:15" ht="15.75" customHeight="1">
      <c r="A25" s="57" t="s">
        <v>42</v>
      </c>
      <c r="B25" s="19" t="s">
        <v>45</v>
      </c>
      <c r="C25" s="22">
        <v>3423</v>
      </c>
      <c r="D25" s="22">
        <v>73</v>
      </c>
      <c r="E25" s="22">
        <v>0</v>
      </c>
      <c r="F25" s="22">
        <v>1</v>
      </c>
      <c r="G25" s="22">
        <v>16</v>
      </c>
      <c r="H25" s="22">
        <v>29</v>
      </c>
      <c r="I25" s="22">
        <v>42</v>
      </c>
      <c r="J25" s="25">
        <v>36</v>
      </c>
      <c r="K25" s="22">
        <v>73</v>
      </c>
      <c r="L25" s="27">
        <v>238</v>
      </c>
      <c r="M25" s="22">
        <v>499</v>
      </c>
      <c r="N25" s="31">
        <v>2416</v>
      </c>
      <c r="O25" s="32"/>
    </row>
    <row r="26" spans="1:15" ht="15.75" customHeight="1">
      <c r="A26" s="57"/>
      <c r="B26" s="19" t="s">
        <v>46</v>
      </c>
      <c r="C26" s="22">
        <v>1320</v>
      </c>
      <c r="D26" s="22">
        <v>41</v>
      </c>
      <c r="E26" s="22">
        <v>0</v>
      </c>
      <c r="F26" s="22">
        <v>0</v>
      </c>
      <c r="G26" s="22">
        <v>0</v>
      </c>
      <c r="H26" s="22">
        <v>0</v>
      </c>
      <c r="I26" s="22">
        <v>4</v>
      </c>
      <c r="J26" s="25">
        <v>13</v>
      </c>
      <c r="K26" s="22">
        <v>25</v>
      </c>
      <c r="L26" s="27">
        <v>66</v>
      </c>
      <c r="M26" s="22">
        <v>146</v>
      </c>
      <c r="N26" s="31">
        <v>1025</v>
      </c>
      <c r="O26" s="32"/>
    </row>
    <row r="27" spans="1:15" ht="15.75" customHeight="1">
      <c r="A27" s="57"/>
      <c r="B27" s="19" t="s">
        <v>47</v>
      </c>
      <c r="C27" s="22">
        <v>2103</v>
      </c>
      <c r="D27" s="22">
        <v>32</v>
      </c>
      <c r="E27" s="22">
        <v>0</v>
      </c>
      <c r="F27" s="22">
        <v>1</v>
      </c>
      <c r="G27" s="22">
        <v>16</v>
      </c>
      <c r="H27" s="22">
        <v>29</v>
      </c>
      <c r="I27" s="22">
        <v>38</v>
      </c>
      <c r="J27" s="25">
        <v>23</v>
      </c>
      <c r="K27" s="22">
        <v>48</v>
      </c>
      <c r="L27" s="27">
        <v>172</v>
      </c>
      <c r="M27" s="22">
        <v>353</v>
      </c>
      <c r="N27" s="31">
        <v>1391</v>
      </c>
      <c r="O27" s="32"/>
    </row>
    <row r="28" spans="1:15" ht="15.75" customHeight="1">
      <c r="A28" s="57" t="s">
        <v>4</v>
      </c>
      <c r="B28" s="19" t="s">
        <v>45</v>
      </c>
      <c r="C28" s="22">
        <v>23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5">
        <v>0</v>
      </c>
      <c r="K28" s="22">
        <v>0</v>
      </c>
      <c r="L28" s="27">
        <v>1</v>
      </c>
      <c r="M28" s="22">
        <v>4</v>
      </c>
      <c r="N28" s="31">
        <v>18</v>
      </c>
      <c r="O28" s="32"/>
    </row>
    <row r="29" spans="1:15" ht="15.75" customHeight="1">
      <c r="A29" s="57"/>
      <c r="B29" s="19" t="s">
        <v>46</v>
      </c>
      <c r="C29" s="22">
        <v>6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5">
        <v>0</v>
      </c>
      <c r="K29" s="22">
        <v>0</v>
      </c>
      <c r="L29" s="27">
        <v>0</v>
      </c>
      <c r="M29" s="22">
        <v>0</v>
      </c>
      <c r="N29" s="31">
        <v>6</v>
      </c>
      <c r="O29" s="32"/>
    </row>
    <row r="30" spans="1:15" ht="15.75" customHeight="1">
      <c r="A30" s="57"/>
      <c r="B30" s="19" t="s">
        <v>47</v>
      </c>
      <c r="C30" s="22">
        <v>17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5">
        <v>0</v>
      </c>
      <c r="K30" s="22">
        <v>0</v>
      </c>
      <c r="L30" s="27">
        <v>1</v>
      </c>
      <c r="M30" s="22">
        <v>4</v>
      </c>
      <c r="N30" s="31">
        <v>12</v>
      </c>
      <c r="O30" s="32"/>
    </row>
    <row r="31" spans="1:15" ht="15.75" customHeight="1">
      <c r="A31" s="57" t="s">
        <v>5</v>
      </c>
      <c r="B31" s="19" t="s">
        <v>45</v>
      </c>
      <c r="C31" s="22">
        <v>461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2</v>
      </c>
      <c r="J31" s="25">
        <v>2</v>
      </c>
      <c r="K31" s="22">
        <v>2</v>
      </c>
      <c r="L31" s="27">
        <v>6</v>
      </c>
      <c r="M31" s="22">
        <v>25</v>
      </c>
      <c r="N31" s="31">
        <v>424</v>
      </c>
      <c r="O31" s="32"/>
    </row>
    <row r="32" spans="1:15" ht="15.75" customHeight="1">
      <c r="A32" s="57"/>
      <c r="B32" s="19" t="s">
        <v>46</v>
      </c>
      <c r="C32" s="22">
        <v>25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5">
        <v>0</v>
      </c>
      <c r="K32" s="22">
        <v>0</v>
      </c>
      <c r="L32" s="27">
        <v>1</v>
      </c>
      <c r="M32" s="22">
        <v>2</v>
      </c>
      <c r="N32" s="31">
        <v>22</v>
      </c>
      <c r="O32" s="32"/>
    </row>
    <row r="33" spans="1:15" ht="15.75" customHeight="1">
      <c r="A33" s="59"/>
      <c r="B33" s="20" t="s">
        <v>47</v>
      </c>
      <c r="C33" s="23">
        <v>436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2</v>
      </c>
      <c r="J33" s="26">
        <v>2</v>
      </c>
      <c r="K33" s="23">
        <v>2</v>
      </c>
      <c r="L33" s="28">
        <v>5</v>
      </c>
      <c r="M33" s="23">
        <v>23</v>
      </c>
      <c r="N33" s="34">
        <v>402</v>
      </c>
      <c r="O33" s="32"/>
    </row>
    <row r="34" spans="1:15" s="2" customFormat="1" ht="19.5" customHeight="1">
      <c r="A34" s="3" t="s">
        <v>32</v>
      </c>
      <c r="B34" s="3"/>
      <c r="C34" s="3"/>
      <c r="D34" s="4"/>
      <c r="E34" s="5"/>
      <c r="F34" s="5"/>
      <c r="G34" s="5"/>
      <c r="H34" s="5"/>
      <c r="I34" s="5"/>
      <c r="J34" s="5" t="s">
        <v>56</v>
      </c>
      <c r="K34" s="5"/>
      <c r="L34" s="5"/>
      <c r="M34" s="6"/>
      <c r="O34" s="7"/>
    </row>
  </sheetData>
  <sheetProtection/>
  <mergeCells count="13">
    <mergeCell ref="A31:A33"/>
    <mergeCell ref="A13:A15"/>
    <mergeCell ref="A16:A18"/>
    <mergeCell ref="A19:A21"/>
    <mergeCell ref="A22:A24"/>
    <mergeCell ref="A25:A27"/>
    <mergeCell ref="A28:A30"/>
    <mergeCell ref="A1:N1"/>
    <mergeCell ref="F2:J2"/>
    <mergeCell ref="K2:L2"/>
    <mergeCell ref="A4:A6"/>
    <mergeCell ref="A7:A9"/>
    <mergeCell ref="A10:A12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3">
      <selection activeCell="R9" sqref="R9"/>
    </sheetView>
  </sheetViews>
  <sheetFormatPr defaultColWidth="9.00390625" defaultRowHeight="15.75"/>
  <cols>
    <col min="1" max="1" width="10.125" style="13" customWidth="1"/>
    <col min="2" max="2" width="5.875" style="11" customWidth="1"/>
    <col min="3" max="3" width="10.125" style="11" customWidth="1"/>
    <col min="4" max="13" width="8.75390625" style="13" customWidth="1"/>
    <col min="14" max="14" width="9.875" style="16" customWidth="1"/>
    <col min="15" max="16384" width="9.00390625" style="13" customWidth="1"/>
  </cols>
  <sheetData>
    <row r="1" spans="1:14" s="14" customFormat="1" ht="21" customHeight="1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s="14" customFormat="1" ht="21" customHeight="1">
      <c r="B2" s="9"/>
      <c r="C2" s="9"/>
      <c r="D2" s="9"/>
      <c r="E2" s="9"/>
      <c r="F2" s="54" t="s">
        <v>57</v>
      </c>
      <c r="G2" s="54"/>
      <c r="H2" s="54"/>
      <c r="I2" s="54"/>
      <c r="J2" s="54"/>
      <c r="K2" s="55" t="s">
        <v>15</v>
      </c>
      <c r="L2" s="55"/>
      <c r="N2" s="15"/>
    </row>
    <row r="3" spans="1:15" ht="18.75" customHeight="1">
      <c r="A3" s="33" t="s">
        <v>48</v>
      </c>
      <c r="B3" s="12" t="s">
        <v>49</v>
      </c>
      <c r="C3" s="12" t="s">
        <v>20</v>
      </c>
      <c r="D3" s="10" t="s">
        <v>19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27</v>
      </c>
      <c r="L3" s="10" t="s">
        <v>28</v>
      </c>
      <c r="M3" s="10" t="s">
        <v>29</v>
      </c>
      <c r="N3" s="30" t="s">
        <v>30</v>
      </c>
      <c r="O3" s="32"/>
    </row>
    <row r="4" spans="1:15" ht="15.75" customHeight="1">
      <c r="A4" s="56" t="s">
        <v>44</v>
      </c>
      <c r="B4" s="18" t="s">
        <v>45</v>
      </c>
      <c r="C4" s="21">
        <v>19291</v>
      </c>
      <c r="D4" s="21">
        <v>1081</v>
      </c>
      <c r="E4" s="21">
        <v>1423</v>
      </c>
      <c r="F4" s="21">
        <v>1504</v>
      </c>
      <c r="G4" s="21">
        <v>1499</v>
      </c>
      <c r="H4" s="21">
        <v>1605</v>
      </c>
      <c r="I4" s="21">
        <v>1588</v>
      </c>
      <c r="J4" s="24">
        <v>1567</v>
      </c>
      <c r="K4" s="21">
        <v>1825</v>
      </c>
      <c r="L4" s="29">
        <v>1949</v>
      </c>
      <c r="M4" s="21">
        <v>1554</v>
      </c>
      <c r="N4" s="31">
        <v>3696</v>
      </c>
      <c r="O4" s="32"/>
    </row>
    <row r="5" spans="1:15" ht="15.75" customHeight="1">
      <c r="A5" s="56"/>
      <c r="B5" s="19" t="s">
        <v>46</v>
      </c>
      <c r="C5" s="22">
        <v>9807</v>
      </c>
      <c r="D5" s="22">
        <v>532</v>
      </c>
      <c r="E5" s="22">
        <v>759</v>
      </c>
      <c r="F5" s="22">
        <v>815</v>
      </c>
      <c r="G5" s="22">
        <v>804</v>
      </c>
      <c r="H5" s="22">
        <v>820</v>
      </c>
      <c r="I5" s="22">
        <v>798</v>
      </c>
      <c r="J5" s="25">
        <v>792</v>
      </c>
      <c r="K5" s="22">
        <v>976</v>
      </c>
      <c r="L5" s="27">
        <v>1044</v>
      </c>
      <c r="M5" s="22">
        <v>807</v>
      </c>
      <c r="N5" s="31">
        <v>1660</v>
      </c>
      <c r="O5" s="32"/>
    </row>
    <row r="6" spans="1:15" ht="15.75" customHeight="1">
      <c r="A6" s="56"/>
      <c r="B6" s="19" t="s">
        <v>47</v>
      </c>
      <c r="C6" s="22">
        <v>9484</v>
      </c>
      <c r="D6" s="22">
        <v>549</v>
      </c>
      <c r="E6" s="22">
        <v>664</v>
      </c>
      <c r="F6" s="22">
        <v>689</v>
      </c>
      <c r="G6" s="22">
        <v>695</v>
      </c>
      <c r="H6" s="22">
        <v>785</v>
      </c>
      <c r="I6" s="22">
        <v>790</v>
      </c>
      <c r="J6" s="25">
        <v>775</v>
      </c>
      <c r="K6" s="22">
        <v>849</v>
      </c>
      <c r="L6" s="27">
        <v>905</v>
      </c>
      <c r="M6" s="22">
        <v>747</v>
      </c>
      <c r="N6" s="31">
        <v>2036</v>
      </c>
      <c r="O6" s="32"/>
    </row>
    <row r="7" spans="1:15" ht="15.75" customHeight="1">
      <c r="A7" s="57" t="s">
        <v>37</v>
      </c>
      <c r="B7" s="19" t="s">
        <v>45</v>
      </c>
      <c r="C7" s="22">
        <v>21</v>
      </c>
      <c r="D7" s="22">
        <v>0</v>
      </c>
      <c r="E7" s="22">
        <v>0</v>
      </c>
      <c r="F7" s="22">
        <v>0</v>
      </c>
      <c r="G7" s="22">
        <v>4</v>
      </c>
      <c r="H7" s="22">
        <v>3</v>
      </c>
      <c r="I7" s="22">
        <v>3</v>
      </c>
      <c r="J7" s="25">
        <v>3</v>
      </c>
      <c r="K7" s="22">
        <v>3</v>
      </c>
      <c r="L7" s="27">
        <v>3</v>
      </c>
      <c r="M7" s="22">
        <v>2</v>
      </c>
      <c r="N7" s="31">
        <v>0</v>
      </c>
      <c r="O7" s="32"/>
    </row>
    <row r="8" spans="1:15" ht="15.75" customHeight="1">
      <c r="A8" s="57"/>
      <c r="B8" s="19" t="s">
        <v>46</v>
      </c>
      <c r="C8" s="22">
        <v>13</v>
      </c>
      <c r="D8" s="22">
        <v>0</v>
      </c>
      <c r="E8" s="22">
        <v>0</v>
      </c>
      <c r="F8" s="22">
        <v>0</v>
      </c>
      <c r="G8" s="22">
        <v>4</v>
      </c>
      <c r="H8" s="22">
        <v>3</v>
      </c>
      <c r="I8" s="22">
        <v>1</v>
      </c>
      <c r="J8" s="25">
        <v>2</v>
      </c>
      <c r="K8" s="22">
        <v>2</v>
      </c>
      <c r="L8" s="27" t="s">
        <v>58</v>
      </c>
      <c r="M8" s="22">
        <v>1</v>
      </c>
      <c r="N8" s="31">
        <v>0</v>
      </c>
      <c r="O8" s="32"/>
    </row>
    <row r="9" spans="1:15" ht="15.75" customHeight="1">
      <c r="A9" s="57"/>
      <c r="B9" s="19" t="s">
        <v>47</v>
      </c>
      <c r="C9" s="22">
        <v>8</v>
      </c>
      <c r="D9" s="22">
        <v>0</v>
      </c>
      <c r="E9" s="22">
        <v>0</v>
      </c>
      <c r="F9" s="22">
        <v>0</v>
      </c>
      <c r="G9" s="22" t="s">
        <v>58</v>
      </c>
      <c r="H9" s="22" t="s">
        <v>58</v>
      </c>
      <c r="I9" s="22">
        <v>2</v>
      </c>
      <c r="J9" s="25">
        <v>1</v>
      </c>
      <c r="K9" s="22">
        <v>1</v>
      </c>
      <c r="L9" s="27">
        <v>3</v>
      </c>
      <c r="M9" s="22">
        <v>1</v>
      </c>
      <c r="N9" s="31">
        <v>0</v>
      </c>
      <c r="O9" s="32"/>
    </row>
    <row r="10" spans="1:15" ht="15.75" customHeight="1">
      <c r="A10" s="57" t="s">
        <v>38</v>
      </c>
      <c r="B10" s="19" t="s">
        <v>45</v>
      </c>
      <c r="C10" s="22">
        <v>618</v>
      </c>
      <c r="D10" s="22">
        <v>0</v>
      </c>
      <c r="E10" s="22">
        <v>10</v>
      </c>
      <c r="F10" s="22">
        <v>133</v>
      </c>
      <c r="G10" s="22">
        <v>143</v>
      </c>
      <c r="H10" s="22">
        <v>112</v>
      </c>
      <c r="I10" s="22">
        <v>74</v>
      </c>
      <c r="J10" s="25">
        <v>54</v>
      </c>
      <c r="K10" s="22">
        <v>48</v>
      </c>
      <c r="L10" s="27">
        <v>25</v>
      </c>
      <c r="M10" s="22">
        <v>13</v>
      </c>
      <c r="N10" s="31">
        <v>6</v>
      </c>
      <c r="O10" s="32"/>
    </row>
    <row r="11" spans="1:15" ht="15.75" customHeight="1">
      <c r="A11" s="57"/>
      <c r="B11" s="19" t="s">
        <v>46</v>
      </c>
      <c r="C11" s="22">
        <v>380</v>
      </c>
      <c r="D11" s="22">
        <v>0</v>
      </c>
      <c r="E11" s="22">
        <v>6</v>
      </c>
      <c r="F11" s="22">
        <v>87</v>
      </c>
      <c r="G11" s="22">
        <v>84</v>
      </c>
      <c r="H11" s="22">
        <v>63</v>
      </c>
      <c r="I11" s="22">
        <v>45</v>
      </c>
      <c r="J11" s="25">
        <v>33</v>
      </c>
      <c r="K11" s="22">
        <v>30</v>
      </c>
      <c r="L11" s="27">
        <v>19</v>
      </c>
      <c r="M11" s="22">
        <v>10</v>
      </c>
      <c r="N11" s="31">
        <v>3</v>
      </c>
      <c r="O11" s="32"/>
    </row>
    <row r="12" spans="1:15" ht="15.75" customHeight="1">
      <c r="A12" s="57"/>
      <c r="B12" s="19" t="s">
        <v>47</v>
      </c>
      <c r="C12" s="22">
        <v>238</v>
      </c>
      <c r="D12" s="22">
        <v>0</v>
      </c>
      <c r="E12" s="22">
        <v>4</v>
      </c>
      <c r="F12" s="22">
        <v>46</v>
      </c>
      <c r="G12" s="22">
        <v>59</v>
      </c>
      <c r="H12" s="22">
        <v>49</v>
      </c>
      <c r="I12" s="22">
        <v>29</v>
      </c>
      <c r="J12" s="25">
        <v>21</v>
      </c>
      <c r="K12" s="22">
        <v>18</v>
      </c>
      <c r="L12" s="27">
        <v>6</v>
      </c>
      <c r="M12" s="22">
        <v>3</v>
      </c>
      <c r="N12" s="31">
        <v>3</v>
      </c>
      <c r="O12" s="32"/>
    </row>
    <row r="13" spans="1:15" ht="15.75" customHeight="1">
      <c r="A13" s="57" t="s">
        <v>39</v>
      </c>
      <c r="B13" s="19" t="s">
        <v>45</v>
      </c>
      <c r="C13" s="22">
        <v>3514</v>
      </c>
      <c r="D13" s="22">
        <v>0</v>
      </c>
      <c r="E13" s="22">
        <v>438</v>
      </c>
      <c r="F13" s="22">
        <v>920</v>
      </c>
      <c r="G13" s="22">
        <v>752</v>
      </c>
      <c r="H13" s="22">
        <v>508</v>
      </c>
      <c r="I13" s="22">
        <v>318</v>
      </c>
      <c r="J13" s="25">
        <v>208</v>
      </c>
      <c r="K13" s="22">
        <v>145</v>
      </c>
      <c r="L13" s="27">
        <v>104</v>
      </c>
      <c r="M13" s="22">
        <v>57</v>
      </c>
      <c r="N13" s="31">
        <v>64</v>
      </c>
      <c r="O13" s="32"/>
    </row>
    <row r="14" spans="1:15" ht="15.75" customHeight="1">
      <c r="A14" s="57"/>
      <c r="B14" s="19" t="s">
        <v>46</v>
      </c>
      <c r="C14" s="22">
        <v>1819</v>
      </c>
      <c r="D14" s="22">
        <v>0</v>
      </c>
      <c r="E14" s="22">
        <v>209</v>
      </c>
      <c r="F14" s="22">
        <v>454</v>
      </c>
      <c r="G14" s="22">
        <v>381</v>
      </c>
      <c r="H14" s="22">
        <v>258</v>
      </c>
      <c r="I14" s="22">
        <v>156</v>
      </c>
      <c r="J14" s="25">
        <v>118</v>
      </c>
      <c r="K14" s="22">
        <v>84</v>
      </c>
      <c r="L14" s="27">
        <v>65</v>
      </c>
      <c r="M14" s="22">
        <v>39</v>
      </c>
      <c r="N14" s="31">
        <v>55</v>
      </c>
      <c r="O14" s="32"/>
    </row>
    <row r="15" spans="1:15" ht="15.75" customHeight="1">
      <c r="A15" s="57"/>
      <c r="B15" s="19" t="s">
        <v>47</v>
      </c>
      <c r="C15" s="22">
        <v>1695</v>
      </c>
      <c r="D15" s="22">
        <v>0</v>
      </c>
      <c r="E15" s="22">
        <v>229</v>
      </c>
      <c r="F15" s="22">
        <v>466</v>
      </c>
      <c r="G15" s="22">
        <v>371</v>
      </c>
      <c r="H15" s="22">
        <v>250</v>
      </c>
      <c r="I15" s="22">
        <v>162</v>
      </c>
      <c r="J15" s="25">
        <v>90</v>
      </c>
      <c r="K15" s="22">
        <v>61</v>
      </c>
      <c r="L15" s="27">
        <v>39</v>
      </c>
      <c r="M15" s="22">
        <v>18</v>
      </c>
      <c r="N15" s="31">
        <v>9</v>
      </c>
      <c r="O15" s="32"/>
    </row>
    <row r="16" spans="1:15" ht="15.75" customHeight="1">
      <c r="A16" s="57" t="s">
        <v>40</v>
      </c>
      <c r="B16" s="19" t="s">
        <v>45</v>
      </c>
      <c r="C16" s="22">
        <v>1538</v>
      </c>
      <c r="D16" s="22">
        <v>0</v>
      </c>
      <c r="E16" s="22">
        <v>105</v>
      </c>
      <c r="F16" s="22">
        <v>53</v>
      </c>
      <c r="G16" s="22">
        <v>69</v>
      </c>
      <c r="H16" s="22">
        <v>204</v>
      </c>
      <c r="I16" s="22">
        <v>303</v>
      </c>
      <c r="J16" s="25">
        <v>261</v>
      </c>
      <c r="K16" s="22">
        <v>185</v>
      </c>
      <c r="L16" s="27">
        <v>151</v>
      </c>
      <c r="M16" s="22">
        <v>92</v>
      </c>
      <c r="N16" s="31">
        <v>115</v>
      </c>
      <c r="O16" s="32"/>
    </row>
    <row r="17" spans="1:15" ht="15.75" customHeight="1">
      <c r="A17" s="57"/>
      <c r="B17" s="19" t="s">
        <v>46</v>
      </c>
      <c r="C17" s="22">
        <v>901</v>
      </c>
      <c r="D17" s="22">
        <v>0</v>
      </c>
      <c r="E17" s="22">
        <v>38</v>
      </c>
      <c r="F17" s="22">
        <v>36</v>
      </c>
      <c r="G17" s="22">
        <v>44</v>
      </c>
      <c r="H17" s="22">
        <v>83</v>
      </c>
      <c r="I17" s="22">
        <v>156</v>
      </c>
      <c r="J17" s="25">
        <v>140</v>
      </c>
      <c r="K17" s="22">
        <v>125</v>
      </c>
      <c r="L17" s="27">
        <v>110</v>
      </c>
      <c r="M17" s="22">
        <v>76</v>
      </c>
      <c r="N17" s="31">
        <v>90</v>
      </c>
      <c r="O17" s="32"/>
    </row>
    <row r="18" spans="1:15" ht="15.75" customHeight="1">
      <c r="A18" s="57"/>
      <c r="B18" s="19" t="s">
        <v>47</v>
      </c>
      <c r="C18" s="22">
        <v>637</v>
      </c>
      <c r="D18" s="22">
        <v>0</v>
      </c>
      <c r="E18" s="22">
        <v>67</v>
      </c>
      <c r="F18" s="22">
        <v>17</v>
      </c>
      <c r="G18" s="22">
        <v>25</v>
      </c>
      <c r="H18" s="22">
        <v>121</v>
      </c>
      <c r="I18" s="22">
        <v>147</v>
      </c>
      <c r="J18" s="25">
        <v>121</v>
      </c>
      <c r="K18" s="22">
        <v>57</v>
      </c>
      <c r="L18" s="27">
        <v>41</v>
      </c>
      <c r="M18" s="22">
        <v>16</v>
      </c>
      <c r="N18" s="31">
        <v>25</v>
      </c>
      <c r="O18" s="32"/>
    </row>
    <row r="19" spans="1:15" ht="15.75" customHeight="1">
      <c r="A19" s="57" t="s">
        <v>41</v>
      </c>
      <c r="B19" s="19" t="s">
        <v>45</v>
      </c>
      <c r="C19" s="22">
        <v>6155</v>
      </c>
      <c r="D19" s="22">
        <v>350</v>
      </c>
      <c r="E19" s="22">
        <v>825</v>
      </c>
      <c r="F19" s="22">
        <v>341</v>
      </c>
      <c r="G19" s="22">
        <v>387</v>
      </c>
      <c r="H19" s="22">
        <v>580</v>
      </c>
      <c r="I19" s="22">
        <v>649</v>
      </c>
      <c r="J19" s="25">
        <v>697</v>
      </c>
      <c r="K19" s="22">
        <v>826</v>
      </c>
      <c r="L19" s="27">
        <v>738</v>
      </c>
      <c r="M19" s="22">
        <v>436</v>
      </c>
      <c r="N19" s="31">
        <v>326</v>
      </c>
      <c r="O19" s="32"/>
    </row>
    <row r="20" spans="1:15" ht="15.75" customHeight="1">
      <c r="A20" s="57"/>
      <c r="B20" s="19" t="s">
        <v>46</v>
      </c>
      <c r="C20" s="22">
        <v>3528</v>
      </c>
      <c r="D20" s="22">
        <v>179</v>
      </c>
      <c r="E20" s="22">
        <v>487</v>
      </c>
      <c r="F20" s="22">
        <v>206</v>
      </c>
      <c r="G20" s="22">
        <v>214</v>
      </c>
      <c r="H20" s="22">
        <v>338</v>
      </c>
      <c r="I20" s="22">
        <v>341</v>
      </c>
      <c r="J20" s="25">
        <v>332</v>
      </c>
      <c r="K20" s="22">
        <v>443</v>
      </c>
      <c r="L20" s="27">
        <v>438</v>
      </c>
      <c r="M20" s="22">
        <v>293</v>
      </c>
      <c r="N20" s="31">
        <v>257</v>
      </c>
      <c r="O20" s="32"/>
    </row>
    <row r="21" spans="1:15" ht="15.75" customHeight="1">
      <c r="A21" s="57"/>
      <c r="B21" s="19" t="s">
        <v>47</v>
      </c>
      <c r="C21" s="22">
        <v>2627</v>
      </c>
      <c r="D21" s="22">
        <v>171</v>
      </c>
      <c r="E21" s="22">
        <v>338</v>
      </c>
      <c r="F21" s="22">
        <v>135</v>
      </c>
      <c r="G21" s="22">
        <v>173</v>
      </c>
      <c r="H21" s="22">
        <v>242</v>
      </c>
      <c r="I21" s="22">
        <v>308</v>
      </c>
      <c r="J21" s="25">
        <v>365</v>
      </c>
      <c r="K21" s="22">
        <v>383</v>
      </c>
      <c r="L21" s="27">
        <v>300</v>
      </c>
      <c r="M21" s="22">
        <v>143</v>
      </c>
      <c r="N21" s="31">
        <v>69</v>
      </c>
      <c r="O21" s="32"/>
    </row>
    <row r="22" spans="1:15" ht="15.75" customHeight="1">
      <c r="A22" s="57" t="s">
        <v>43</v>
      </c>
      <c r="B22" s="19" t="s">
        <v>45</v>
      </c>
      <c r="C22" s="22">
        <v>3371</v>
      </c>
      <c r="D22" s="22">
        <v>665</v>
      </c>
      <c r="E22" s="22">
        <v>45</v>
      </c>
      <c r="F22" s="22">
        <v>52</v>
      </c>
      <c r="G22" s="22">
        <v>127</v>
      </c>
      <c r="H22" s="22">
        <v>161</v>
      </c>
      <c r="I22" s="22">
        <v>202</v>
      </c>
      <c r="J22" s="25">
        <v>303</v>
      </c>
      <c r="K22" s="22">
        <v>523</v>
      </c>
      <c r="L22" s="27">
        <v>635</v>
      </c>
      <c r="M22" s="22">
        <v>344</v>
      </c>
      <c r="N22" s="31">
        <v>314</v>
      </c>
      <c r="O22" s="32"/>
    </row>
    <row r="23" spans="1:15" ht="15.75" customHeight="1">
      <c r="A23" s="57"/>
      <c r="B23" s="19" t="s">
        <v>46</v>
      </c>
      <c r="C23" s="22">
        <v>1744</v>
      </c>
      <c r="D23" s="22">
        <v>320</v>
      </c>
      <c r="E23" s="22">
        <v>19</v>
      </c>
      <c r="F23" s="22">
        <v>32</v>
      </c>
      <c r="G23" s="22">
        <v>77</v>
      </c>
      <c r="H23" s="22">
        <v>74</v>
      </c>
      <c r="I23" s="22">
        <v>95</v>
      </c>
      <c r="J23" s="25">
        <v>150</v>
      </c>
      <c r="K23" s="22">
        <v>262</v>
      </c>
      <c r="L23" s="27">
        <v>336</v>
      </c>
      <c r="M23" s="22">
        <v>191</v>
      </c>
      <c r="N23" s="31">
        <v>188</v>
      </c>
      <c r="O23" s="32"/>
    </row>
    <row r="24" spans="1:15" ht="15.75" customHeight="1">
      <c r="A24" s="57"/>
      <c r="B24" s="19" t="s">
        <v>47</v>
      </c>
      <c r="C24" s="22">
        <v>1627</v>
      </c>
      <c r="D24" s="22">
        <v>345</v>
      </c>
      <c r="E24" s="22">
        <v>26</v>
      </c>
      <c r="F24" s="22">
        <v>20</v>
      </c>
      <c r="G24" s="22">
        <v>50</v>
      </c>
      <c r="H24" s="22">
        <v>87</v>
      </c>
      <c r="I24" s="22">
        <v>107</v>
      </c>
      <c r="J24" s="25">
        <v>153</v>
      </c>
      <c r="K24" s="22">
        <v>261</v>
      </c>
      <c r="L24" s="27">
        <v>299</v>
      </c>
      <c r="M24" s="22">
        <v>153</v>
      </c>
      <c r="N24" s="31">
        <v>126</v>
      </c>
      <c r="O24" s="32"/>
    </row>
    <row r="25" spans="1:15" ht="15.75" customHeight="1">
      <c r="A25" s="57" t="s">
        <v>42</v>
      </c>
      <c r="B25" s="19" t="s">
        <v>45</v>
      </c>
      <c r="C25" s="22">
        <v>3545</v>
      </c>
      <c r="D25" s="22">
        <v>66</v>
      </c>
      <c r="E25" s="22">
        <v>0</v>
      </c>
      <c r="F25" s="22">
        <v>5</v>
      </c>
      <c r="G25" s="22">
        <v>17</v>
      </c>
      <c r="H25" s="22">
        <v>37</v>
      </c>
      <c r="I25" s="22">
        <v>37</v>
      </c>
      <c r="J25" s="25">
        <v>39</v>
      </c>
      <c r="K25" s="22">
        <v>93</v>
      </c>
      <c r="L25" s="27">
        <v>281</v>
      </c>
      <c r="M25" s="22">
        <v>578</v>
      </c>
      <c r="N25" s="31">
        <v>2392</v>
      </c>
      <c r="O25" s="32"/>
    </row>
    <row r="26" spans="1:15" ht="15.75" customHeight="1">
      <c r="A26" s="57"/>
      <c r="B26" s="19" t="s">
        <v>46</v>
      </c>
      <c r="C26" s="22">
        <v>1381</v>
      </c>
      <c r="D26" s="22">
        <v>33</v>
      </c>
      <c r="E26" s="22">
        <v>0</v>
      </c>
      <c r="F26" s="22">
        <v>0</v>
      </c>
      <c r="G26" s="22">
        <v>0</v>
      </c>
      <c r="H26" s="22">
        <v>1</v>
      </c>
      <c r="I26" s="22">
        <v>4</v>
      </c>
      <c r="J26" s="25">
        <v>17</v>
      </c>
      <c r="K26" s="22">
        <v>27</v>
      </c>
      <c r="L26" s="27">
        <v>75</v>
      </c>
      <c r="M26" s="22">
        <v>194</v>
      </c>
      <c r="N26" s="31">
        <v>1030</v>
      </c>
      <c r="O26" s="32"/>
    </row>
    <row r="27" spans="1:15" ht="15.75" customHeight="1">
      <c r="A27" s="57"/>
      <c r="B27" s="19" t="s">
        <v>47</v>
      </c>
      <c r="C27" s="22">
        <v>2164</v>
      </c>
      <c r="D27" s="22">
        <v>33</v>
      </c>
      <c r="E27" s="22">
        <v>0</v>
      </c>
      <c r="F27" s="22">
        <v>5</v>
      </c>
      <c r="G27" s="22">
        <v>17</v>
      </c>
      <c r="H27" s="22">
        <v>36</v>
      </c>
      <c r="I27" s="22">
        <v>33</v>
      </c>
      <c r="J27" s="25">
        <v>22</v>
      </c>
      <c r="K27" s="22">
        <v>66</v>
      </c>
      <c r="L27" s="27">
        <v>206</v>
      </c>
      <c r="M27" s="22">
        <v>384</v>
      </c>
      <c r="N27" s="31">
        <v>1362</v>
      </c>
      <c r="O27" s="32"/>
    </row>
    <row r="28" spans="1:15" ht="15.75" customHeight="1">
      <c r="A28" s="57" t="s">
        <v>4</v>
      </c>
      <c r="B28" s="19" t="s">
        <v>45</v>
      </c>
      <c r="C28" s="22">
        <v>28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5">
        <v>0</v>
      </c>
      <c r="K28" s="22">
        <v>0</v>
      </c>
      <c r="L28" s="27">
        <v>2</v>
      </c>
      <c r="M28" s="22">
        <v>3</v>
      </c>
      <c r="N28" s="31">
        <v>23</v>
      </c>
      <c r="O28" s="32"/>
    </row>
    <row r="29" spans="1:15" ht="15.75" customHeight="1">
      <c r="A29" s="57"/>
      <c r="B29" s="19" t="s">
        <v>46</v>
      </c>
      <c r="C29" s="22">
        <v>10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5">
        <v>0</v>
      </c>
      <c r="K29" s="22">
        <v>0</v>
      </c>
      <c r="L29" s="27">
        <v>0</v>
      </c>
      <c r="M29" s="22">
        <v>0</v>
      </c>
      <c r="N29" s="31">
        <v>10</v>
      </c>
      <c r="O29" s="32"/>
    </row>
    <row r="30" spans="1:15" ht="15.75" customHeight="1">
      <c r="A30" s="57"/>
      <c r="B30" s="19" t="s">
        <v>47</v>
      </c>
      <c r="C30" s="22">
        <v>18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5">
        <v>0</v>
      </c>
      <c r="K30" s="22">
        <v>0</v>
      </c>
      <c r="L30" s="27">
        <v>2</v>
      </c>
      <c r="M30" s="22">
        <v>3</v>
      </c>
      <c r="N30" s="31">
        <v>13</v>
      </c>
      <c r="O30" s="32"/>
    </row>
    <row r="31" spans="1:15" ht="15.75" customHeight="1">
      <c r="A31" s="57" t="s">
        <v>5</v>
      </c>
      <c r="B31" s="19" t="s">
        <v>45</v>
      </c>
      <c r="C31" s="22">
        <v>501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2</v>
      </c>
      <c r="J31" s="25">
        <v>2</v>
      </c>
      <c r="K31" s="22">
        <v>2</v>
      </c>
      <c r="L31" s="27">
        <v>10</v>
      </c>
      <c r="M31" s="22">
        <v>29</v>
      </c>
      <c r="N31" s="31">
        <v>456</v>
      </c>
      <c r="O31" s="32"/>
    </row>
    <row r="32" spans="1:15" ht="15.75" customHeight="1">
      <c r="A32" s="57"/>
      <c r="B32" s="19" t="s">
        <v>46</v>
      </c>
      <c r="C32" s="22">
        <v>31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5">
        <v>0</v>
      </c>
      <c r="K32" s="22">
        <v>0</v>
      </c>
      <c r="L32" s="27">
        <v>1</v>
      </c>
      <c r="M32" s="22">
        <v>3</v>
      </c>
      <c r="N32" s="31">
        <v>27</v>
      </c>
      <c r="O32" s="32"/>
    </row>
    <row r="33" spans="1:15" ht="15.75" customHeight="1">
      <c r="A33" s="59"/>
      <c r="B33" s="20" t="s">
        <v>47</v>
      </c>
      <c r="C33" s="23">
        <v>470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2</v>
      </c>
      <c r="J33" s="26">
        <v>2</v>
      </c>
      <c r="K33" s="23">
        <v>2</v>
      </c>
      <c r="L33" s="28">
        <v>9</v>
      </c>
      <c r="M33" s="23">
        <v>26</v>
      </c>
      <c r="N33" s="34">
        <v>429</v>
      </c>
      <c r="O33" s="32"/>
    </row>
    <row r="34" spans="1:15" s="2" customFormat="1" ht="19.5" customHeight="1">
      <c r="A34" s="3" t="s">
        <v>32</v>
      </c>
      <c r="B34" s="3"/>
      <c r="C34" s="3"/>
      <c r="D34" s="4"/>
      <c r="E34" s="5"/>
      <c r="F34" s="5"/>
      <c r="G34" s="5"/>
      <c r="H34" s="5"/>
      <c r="I34" s="5"/>
      <c r="J34" s="5" t="s">
        <v>56</v>
      </c>
      <c r="K34" s="5"/>
      <c r="L34" s="5"/>
      <c r="M34" s="6"/>
      <c r="O34" s="7"/>
    </row>
  </sheetData>
  <sheetProtection/>
  <mergeCells count="13">
    <mergeCell ref="A31:A33"/>
    <mergeCell ref="A13:A15"/>
    <mergeCell ref="A16:A18"/>
    <mergeCell ref="A19:A21"/>
    <mergeCell ref="A22:A24"/>
    <mergeCell ref="A25:A27"/>
    <mergeCell ref="A28:A30"/>
    <mergeCell ref="A1:N1"/>
    <mergeCell ref="F2:J2"/>
    <mergeCell ref="K2:L2"/>
    <mergeCell ref="A4:A6"/>
    <mergeCell ref="A7:A9"/>
    <mergeCell ref="A10:A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P18" sqref="P18"/>
    </sheetView>
  </sheetViews>
  <sheetFormatPr defaultColWidth="9.00390625" defaultRowHeight="15.75" customHeight="1"/>
  <cols>
    <col min="1" max="1" width="10.125" style="13" customWidth="1"/>
    <col min="2" max="2" width="5.875" style="11" customWidth="1"/>
    <col min="3" max="3" width="10.125" style="11" customWidth="1"/>
    <col min="4" max="13" width="8.75390625" style="13" customWidth="1"/>
    <col min="14" max="14" width="9.875" style="16" customWidth="1"/>
    <col min="15" max="16384" width="9.00390625" style="13" customWidth="1"/>
  </cols>
  <sheetData>
    <row r="1" spans="1:14" s="14" customFormat="1" ht="21" customHeight="1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s="14" customFormat="1" ht="21" customHeight="1">
      <c r="B2" s="9"/>
      <c r="C2" s="9"/>
      <c r="D2" s="9"/>
      <c r="E2" s="9"/>
      <c r="F2" s="54" t="s">
        <v>55</v>
      </c>
      <c r="G2" s="54"/>
      <c r="H2" s="54"/>
      <c r="I2" s="54"/>
      <c r="J2" s="54"/>
      <c r="K2" s="55" t="s">
        <v>15</v>
      </c>
      <c r="L2" s="55"/>
      <c r="N2" s="15"/>
    </row>
    <row r="3" spans="1:15" ht="18.75" customHeight="1">
      <c r="A3" s="33" t="s">
        <v>48</v>
      </c>
      <c r="B3" s="12" t="s">
        <v>49</v>
      </c>
      <c r="C3" s="12" t="s">
        <v>20</v>
      </c>
      <c r="D3" s="10" t="s">
        <v>19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27</v>
      </c>
      <c r="L3" s="10" t="s">
        <v>28</v>
      </c>
      <c r="M3" s="10" t="s">
        <v>29</v>
      </c>
      <c r="N3" s="30" t="s">
        <v>30</v>
      </c>
      <c r="O3" s="32"/>
    </row>
    <row r="4" spans="1:15" ht="15.75" customHeight="1">
      <c r="A4" s="56" t="s">
        <v>44</v>
      </c>
      <c r="B4" s="18" t="s">
        <v>45</v>
      </c>
      <c r="C4" s="21">
        <v>19383</v>
      </c>
      <c r="D4" s="21">
        <v>1137</v>
      </c>
      <c r="E4" s="21">
        <v>1503</v>
      </c>
      <c r="F4" s="21">
        <v>1529</v>
      </c>
      <c r="G4" s="21">
        <v>1512</v>
      </c>
      <c r="H4" s="21">
        <v>1592</v>
      </c>
      <c r="I4" s="21">
        <v>1625</v>
      </c>
      <c r="J4" s="24">
        <v>1570</v>
      </c>
      <c r="K4" s="21">
        <v>1875</v>
      </c>
      <c r="L4" s="29">
        <v>1928</v>
      </c>
      <c r="M4" s="21">
        <v>1478</v>
      </c>
      <c r="N4" s="31">
        <v>3634</v>
      </c>
      <c r="O4" s="32"/>
    </row>
    <row r="5" spans="1:15" ht="15.75" customHeight="1">
      <c r="A5" s="56"/>
      <c r="B5" s="19" t="s">
        <v>46</v>
      </c>
      <c r="C5" s="22">
        <v>9869</v>
      </c>
      <c r="D5" s="22">
        <v>564</v>
      </c>
      <c r="E5" s="22">
        <v>791</v>
      </c>
      <c r="F5" s="22">
        <v>850</v>
      </c>
      <c r="G5" s="22">
        <v>797</v>
      </c>
      <c r="H5" s="22">
        <v>806</v>
      </c>
      <c r="I5" s="22">
        <v>814</v>
      </c>
      <c r="J5" s="25">
        <v>800</v>
      </c>
      <c r="K5" s="22">
        <v>1017</v>
      </c>
      <c r="L5" s="27">
        <v>1025</v>
      </c>
      <c r="M5" s="22">
        <v>768</v>
      </c>
      <c r="N5" s="31">
        <v>1637</v>
      </c>
      <c r="O5" s="32"/>
    </row>
    <row r="6" spans="1:15" ht="15.75" customHeight="1">
      <c r="A6" s="56"/>
      <c r="B6" s="19" t="s">
        <v>47</v>
      </c>
      <c r="C6" s="22">
        <v>9514</v>
      </c>
      <c r="D6" s="22">
        <v>573</v>
      </c>
      <c r="E6" s="22">
        <v>712</v>
      </c>
      <c r="F6" s="22">
        <v>679</v>
      </c>
      <c r="G6" s="22">
        <v>715</v>
      </c>
      <c r="H6" s="22">
        <v>786</v>
      </c>
      <c r="I6" s="22">
        <v>811</v>
      </c>
      <c r="J6" s="25">
        <v>770</v>
      </c>
      <c r="K6" s="22">
        <v>858</v>
      </c>
      <c r="L6" s="27">
        <v>903</v>
      </c>
      <c r="M6" s="22">
        <v>710</v>
      </c>
      <c r="N6" s="31">
        <v>1997</v>
      </c>
      <c r="O6" s="32"/>
    </row>
    <row r="7" spans="1:15" ht="15.75" customHeight="1">
      <c r="A7" s="57" t="s">
        <v>37</v>
      </c>
      <c r="B7" s="19" t="s">
        <v>45</v>
      </c>
      <c r="C7" s="22">
        <v>20</v>
      </c>
      <c r="D7" s="22">
        <v>0</v>
      </c>
      <c r="E7" s="22">
        <v>0</v>
      </c>
      <c r="F7" s="22">
        <v>0</v>
      </c>
      <c r="G7" s="22">
        <v>3</v>
      </c>
      <c r="H7" s="22">
        <v>4</v>
      </c>
      <c r="I7" s="22">
        <v>3</v>
      </c>
      <c r="J7" s="25">
        <v>2</v>
      </c>
      <c r="K7" s="22">
        <v>3</v>
      </c>
      <c r="L7" s="27">
        <v>3</v>
      </c>
      <c r="M7" s="22">
        <v>2</v>
      </c>
      <c r="N7" s="31">
        <v>0</v>
      </c>
      <c r="O7" s="32"/>
    </row>
    <row r="8" spans="1:15" ht="15.75" customHeight="1">
      <c r="A8" s="57"/>
      <c r="B8" s="19" t="s">
        <v>46</v>
      </c>
      <c r="C8" s="22">
        <v>11</v>
      </c>
      <c r="D8" s="22">
        <v>0</v>
      </c>
      <c r="E8" s="22">
        <v>0</v>
      </c>
      <c r="F8" s="22">
        <v>0</v>
      </c>
      <c r="G8" s="22">
        <v>3</v>
      </c>
      <c r="H8" s="22">
        <v>2</v>
      </c>
      <c r="I8" s="22">
        <v>1</v>
      </c>
      <c r="J8" s="25">
        <v>2</v>
      </c>
      <c r="K8" s="22">
        <v>2</v>
      </c>
      <c r="L8" s="27">
        <v>0</v>
      </c>
      <c r="M8" s="22">
        <v>1</v>
      </c>
      <c r="N8" s="31">
        <v>0</v>
      </c>
      <c r="O8" s="32"/>
    </row>
    <row r="9" spans="1:15" ht="15.75" customHeight="1">
      <c r="A9" s="57"/>
      <c r="B9" s="19" t="s">
        <v>47</v>
      </c>
      <c r="C9" s="22">
        <v>9</v>
      </c>
      <c r="D9" s="22">
        <v>0</v>
      </c>
      <c r="E9" s="22">
        <v>0</v>
      </c>
      <c r="F9" s="22">
        <v>0</v>
      </c>
      <c r="G9" s="22"/>
      <c r="H9" s="22">
        <v>2</v>
      </c>
      <c r="I9" s="22">
        <v>2</v>
      </c>
      <c r="J9" s="25">
        <v>0</v>
      </c>
      <c r="K9" s="22">
        <v>1</v>
      </c>
      <c r="L9" s="27">
        <v>3</v>
      </c>
      <c r="M9" s="22">
        <v>1</v>
      </c>
      <c r="N9" s="31">
        <v>0</v>
      </c>
      <c r="O9" s="32"/>
    </row>
    <row r="10" spans="1:15" ht="15.75" customHeight="1">
      <c r="A10" s="57" t="s">
        <v>38</v>
      </c>
      <c r="B10" s="19" t="s">
        <v>45</v>
      </c>
      <c r="C10" s="22">
        <v>580</v>
      </c>
      <c r="D10" s="22">
        <v>0</v>
      </c>
      <c r="E10" s="22">
        <v>11</v>
      </c>
      <c r="F10" s="22">
        <v>131</v>
      </c>
      <c r="G10" s="22">
        <v>140</v>
      </c>
      <c r="H10" s="22">
        <v>100</v>
      </c>
      <c r="I10" s="22">
        <v>70</v>
      </c>
      <c r="J10" s="25">
        <v>55</v>
      </c>
      <c r="K10" s="22">
        <v>41</v>
      </c>
      <c r="L10" s="27">
        <v>16</v>
      </c>
      <c r="M10" s="22">
        <v>12</v>
      </c>
      <c r="N10" s="31">
        <v>4</v>
      </c>
      <c r="O10" s="32"/>
    </row>
    <row r="11" spans="1:15" ht="15.75" customHeight="1">
      <c r="A11" s="57"/>
      <c r="B11" s="19" t="s">
        <v>46</v>
      </c>
      <c r="C11" s="22">
        <v>353</v>
      </c>
      <c r="D11" s="22">
        <v>0</v>
      </c>
      <c r="E11" s="22">
        <v>5</v>
      </c>
      <c r="F11" s="22">
        <v>85</v>
      </c>
      <c r="G11" s="22">
        <v>79</v>
      </c>
      <c r="H11" s="22">
        <v>56</v>
      </c>
      <c r="I11" s="22">
        <v>44</v>
      </c>
      <c r="J11" s="25">
        <v>34</v>
      </c>
      <c r="K11" s="22">
        <v>28</v>
      </c>
      <c r="L11" s="27">
        <v>11</v>
      </c>
      <c r="M11" s="22">
        <v>9</v>
      </c>
      <c r="N11" s="31">
        <v>2</v>
      </c>
      <c r="O11" s="32"/>
    </row>
    <row r="12" spans="1:15" ht="15.75" customHeight="1">
      <c r="A12" s="57"/>
      <c r="B12" s="19" t="s">
        <v>47</v>
      </c>
      <c r="C12" s="22">
        <v>227</v>
      </c>
      <c r="D12" s="22">
        <v>0</v>
      </c>
      <c r="E12" s="22">
        <v>6</v>
      </c>
      <c r="F12" s="22">
        <v>46</v>
      </c>
      <c r="G12" s="22">
        <v>61</v>
      </c>
      <c r="H12" s="22">
        <v>44</v>
      </c>
      <c r="I12" s="22">
        <v>26</v>
      </c>
      <c r="J12" s="25">
        <v>21</v>
      </c>
      <c r="K12" s="22">
        <v>13</v>
      </c>
      <c r="L12" s="27">
        <v>5</v>
      </c>
      <c r="M12" s="22">
        <v>3</v>
      </c>
      <c r="N12" s="31">
        <v>2</v>
      </c>
      <c r="O12" s="32"/>
    </row>
    <row r="13" spans="1:15" ht="15.75" customHeight="1">
      <c r="A13" s="57" t="s">
        <v>39</v>
      </c>
      <c r="B13" s="19" t="s">
        <v>45</v>
      </c>
      <c r="C13" s="22">
        <v>3401</v>
      </c>
      <c r="D13" s="22">
        <v>0</v>
      </c>
      <c r="E13" s="22">
        <v>494</v>
      </c>
      <c r="F13" s="22">
        <v>915</v>
      </c>
      <c r="G13" s="22">
        <v>686</v>
      </c>
      <c r="H13" s="22">
        <v>470</v>
      </c>
      <c r="I13" s="22">
        <v>317</v>
      </c>
      <c r="J13" s="25">
        <v>189</v>
      </c>
      <c r="K13" s="22">
        <v>137</v>
      </c>
      <c r="L13" s="27">
        <v>88</v>
      </c>
      <c r="M13" s="22">
        <v>52</v>
      </c>
      <c r="N13" s="31">
        <f>31+9+6+4+3</f>
        <v>53</v>
      </c>
      <c r="O13" s="32"/>
    </row>
    <row r="14" spans="1:15" ht="15.75" customHeight="1">
      <c r="A14" s="57"/>
      <c r="B14" s="19" t="s">
        <v>46</v>
      </c>
      <c r="C14" s="22">
        <v>1764</v>
      </c>
      <c r="D14" s="22">
        <v>0</v>
      </c>
      <c r="E14" s="22">
        <v>238</v>
      </c>
      <c r="F14" s="22">
        <v>462</v>
      </c>
      <c r="G14" s="22">
        <v>337</v>
      </c>
      <c r="H14" s="22">
        <v>241</v>
      </c>
      <c r="I14" s="22">
        <v>156</v>
      </c>
      <c r="J14" s="25">
        <v>106</v>
      </c>
      <c r="K14" s="22">
        <v>82</v>
      </c>
      <c r="L14" s="27">
        <v>56</v>
      </c>
      <c r="M14" s="22">
        <v>40</v>
      </c>
      <c r="N14" s="31">
        <f>27+8+4+4+3</f>
        <v>46</v>
      </c>
      <c r="O14" s="32"/>
    </row>
    <row r="15" spans="1:15" ht="15.75" customHeight="1">
      <c r="A15" s="57"/>
      <c r="B15" s="19" t="s">
        <v>47</v>
      </c>
      <c r="C15" s="22">
        <v>1637</v>
      </c>
      <c r="D15" s="22">
        <v>0</v>
      </c>
      <c r="E15" s="22">
        <v>256</v>
      </c>
      <c r="F15" s="22">
        <v>453</v>
      </c>
      <c r="G15" s="22">
        <v>349</v>
      </c>
      <c r="H15" s="22">
        <v>229</v>
      </c>
      <c r="I15" s="22">
        <v>161</v>
      </c>
      <c r="J15" s="25">
        <v>83</v>
      </c>
      <c r="K15" s="22">
        <v>55</v>
      </c>
      <c r="L15" s="27">
        <v>32</v>
      </c>
      <c r="M15" s="22">
        <v>12</v>
      </c>
      <c r="N15" s="31">
        <f>4+1+2</f>
        <v>7</v>
      </c>
      <c r="O15" s="32"/>
    </row>
    <row r="16" spans="1:15" ht="15.75" customHeight="1">
      <c r="A16" s="57" t="s">
        <v>40</v>
      </c>
      <c r="B16" s="19" t="s">
        <v>45</v>
      </c>
      <c r="C16" s="22">
        <v>1533</v>
      </c>
      <c r="D16" s="22">
        <v>0</v>
      </c>
      <c r="E16" s="22">
        <v>100</v>
      </c>
      <c r="F16" s="22">
        <v>64</v>
      </c>
      <c r="G16" s="22">
        <v>89</v>
      </c>
      <c r="H16" s="22">
        <v>227</v>
      </c>
      <c r="I16" s="22">
        <v>309</v>
      </c>
      <c r="J16" s="25">
        <v>231</v>
      </c>
      <c r="K16" s="22">
        <v>180</v>
      </c>
      <c r="L16" s="27">
        <v>144</v>
      </c>
      <c r="M16" s="22">
        <v>84</v>
      </c>
      <c r="N16" s="31">
        <f>62+23+10+10</f>
        <v>105</v>
      </c>
      <c r="O16" s="32"/>
    </row>
    <row r="17" spans="1:15" ht="15.75" customHeight="1">
      <c r="A17" s="57"/>
      <c r="B17" s="19" t="s">
        <v>46</v>
      </c>
      <c r="C17" s="22">
        <v>916</v>
      </c>
      <c r="D17" s="22">
        <v>0</v>
      </c>
      <c r="E17" s="22">
        <v>42</v>
      </c>
      <c r="F17" s="22">
        <v>43</v>
      </c>
      <c r="G17" s="22">
        <v>55</v>
      </c>
      <c r="H17" s="22">
        <v>100</v>
      </c>
      <c r="I17" s="22">
        <v>157</v>
      </c>
      <c r="J17" s="25">
        <v>129</v>
      </c>
      <c r="K17" s="22">
        <v>125</v>
      </c>
      <c r="L17" s="27">
        <v>108</v>
      </c>
      <c r="M17" s="22">
        <v>74</v>
      </c>
      <c r="N17" s="31">
        <f>47+19+9+2+5+1</f>
        <v>83</v>
      </c>
      <c r="O17" s="32"/>
    </row>
    <row r="18" spans="1:15" ht="15.75" customHeight="1">
      <c r="A18" s="57"/>
      <c r="B18" s="19" t="s">
        <v>47</v>
      </c>
      <c r="C18" s="22">
        <v>617</v>
      </c>
      <c r="D18" s="22">
        <v>0</v>
      </c>
      <c r="E18" s="22">
        <v>58</v>
      </c>
      <c r="F18" s="22">
        <v>21</v>
      </c>
      <c r="G18" s="22">
        <v>34</v>
      </c>
      <c r="H18" s="22">
        <v>127</v>
      </c>
      <c r="I18" s="22">
        <v>152</v>
      </c>
      <c r="J18" s="25">
        <v>102</v>
      </c>
      <c r="K18" s="22">
        <v>55</v>
      </c>
      <c r="L18" s="27">
        <v>36</v>
      </c>
      <c r="M18" s="22">
        <v>10</v>
      </c>
      <c r="N18" s="31">
        <f>15+4+3</f>
        <v>22</v>
      </c>
      <c r="O18" s="32"/>
    </row>
    <row r="19" spans="1:15" ht="15.75" customHeight="1">
      <c r="A19" s="57" t="s">
        <v>41</v>
      </c>
      <c r="B19" s="19" t="s">
        <v>45</v>
      </c>
      <c r="C19" s="22">
        <v>6139</v>
      </c>
      <c r="D19" s="22">
        <v>353</v>
      </c>
      <c r="E19" s="22">
        <v>854</v>
      </c>
      <c r="F19" s="22">
        <v>352</v>
      </c>
      <c r="G19" s="22">
        <v>407</v>
      </c>
      <c r="H19" s="22">
        <v>623</v>
      </c>
      <c r="I19" s="22">
        <v>653</v>
      </c>
      <c r="J19" s="25">
        <v>723</v>
      </c>
      <c r="K19" s="22">
        <v>837</v>
      </c>
      <c r="L19" s="27">
        <v>691</v>
      </c>
      <c r="M19" s="22">
        <v>357</v>
      </c>
      <c r="N19" s="31">
        <f>151+61+31+18+20+8</f>
        <v>289</v>
      </c>
      <c r="O19" s="32"/>
    </row>
    <row r="20" spans="1:15" ht="15.75" customHeight="1">
      <c r="A20" s="57"/>
      <c r="B20" s="19" t="s">
        <v>46</v>
      </c>
      <c r="C20" s="22">
        <v>3521</v>
      </c>
      <c r="D20" s="22">
        <v>188</v>
      </c>
      <c r="E20" s="22">
        <v>486</v>
      </c>
      <c r="F20" s="22">
        <v>224</v>
      </c>
      <c r="G20" s="22">
        <v>221</v>
      </c>
      <c r="H20" s="22">
        <v>351</v>
      </c>
      <c r="I20" s="22">
        <v>339</v>
      </c>
      <c r="J20" s="25">
        <v>350</v>
      </c>
      <c r="K20" s="22">
        <v>467</v>
      </c>
      <c r="L20" s="27">
        <v>416</v>
      </c>
      <c r="M20" s="22">
        <v>250</v>
      </c>
      <c r="N20" s="31">
        <f>115+45+26+17+18+8</f>
        <v>229</v>
      </c>
      <c r="O20" s="32"/>
    </row>
    <row r="21" spans="1:15" ht="15.75" customHeight="1">
      <c r="A21" s="57"/>
      <c r="B21" s="19" t="s">
        <v>47</v>
      </c>
      <c r="C21" s="22">
        <v>2618</v>
      </c>
      <c r="D21" s="22">
        <v>165</v>
      </c>
      <c r="E21" s="22">
        <v>368</v>
      </c>
      <c r="F21" s="22">
        <v>128</v>
      </c>
      <c r="G21" s="22">
        <v>186</v>
      </c>
      <c r="H21" s="22">
        <v>272</v>
      </c>
      <c r="I21" s="22">
        <v>314</v>
      </c>
      <c r="J21" s="25">
        <v>373</v>
      </c>
      <c r="K21" s="22">
        <v>370</v>
      </c>
      <c r="L21" s="27">
        <v>275</v>
      </c>
      <c r="M21" s="22">
        <v>107</v>
      </c>
      <c r="N21" s="31">
        <f>36+16+5+1+2</f>
        <v>60</v>
      </c>
      <c r="O21" s="32"/>
    </row>
    <row r="22" spans="1:15" ht="15.75" customHeight="1">
      <c r="A22" s="57" t="s">
        <v>43</v>
      </c>
      <c r="B22" s="19" t="s">
        <v>45</v>
      </c>
      <c r="C22" s="22">
        <v>3447</v>
      </c>
      <c r="D22" s="22">
        <v>716</v>
      </c>
      <c r="E22" s="22">
        <v>44</v>
      </c>
      <c r="F22" s="22">
        <v>62</v>
      </c>
      <c r="G22" s="22">
        <v>165</v>
      </c>
      <c r="H22" s="22">
        <v>136</v>
      </c>
      <c r="I22" s="22">
        <v>231</v>
      </c>
      <c r="J22" s="25">
        <v>326</v>
      </c>
      <c r="K22" s="22">
        <v>549</v>
      </c>
      <c r="L22" s="27">
        <v>633</v>
      </c>
      <c r="M22" s="22">
        <v>297</v>
      </c>
      <c r="N22" s="31">
        <f>162+56+25+16+23+6</f>
        <v>288</v>
      </c>
      <c r="O22" s="32"/>
    </row>
    <row r="23" spans="1:15" ht="15.75" customHeight="1">
      <c r="A23" s="57"/>
      <c r="B23" s="19" t="s">
        <v>46</v>
      </c>
      <c r="C23" s="22">
        <v>1789</v>
      </c>
      <c r="D23" s="22">
        <v>342</v>
      </c>
      <c r="E23" s="22">
        <v>20</v>
      </c>
      <c r="F23" s="22">
        <v>36</v>
      </c>
      <c r="G23" s="22">
        <v>102</v>
      </c>
      <c r="H23" s="22">
        <v>55</v>
      </c>
      <c r="I23" s="22">
        <v>109</v>
      </c>
      <c r="J23" s="25">
        <v>162</v>
      </c>
      <c r="K23" s="22">
        <v>277</v>
      </c>
      <c r="L23" s="27">
        <v>338</v>
      </c>
      <c r="M23" s="22">
        <v>169</v>
      </c>
      <c r="N23" s="31">
        <f>96+33+20+8+18+4</f>
        <v>179</v>
      </c>
      <c r="O23" s="32"/>
    </row>
    <row r="24" spans="1:15" ht="15.75" customHeight="1">
      <c r="A24" s="57"/>
      <c r="B24" s="19" t="s">
        <v>47</v>
      </c>
      <c r="C24" s="22">
        <v>1658</v>
      </c>
      <c r="D24" s="22">
        <v>374</v>
      </c>
      <c r="E24" s="22">
        <v>24</v>
      </c>
      <c r="F24" s="22">
        <v>26</v>
      </c>
      <c r="G24" s="22">
        <v>63</v>
      </c>
      <c r="H24" s="22">
        <v>81</v>
      </c>
      <c r="I24" s="22">
        <v>122</v>
      </c>
      <c r="J24" s="25">
        <v>164</v>
      </c>
      <c r="K24" s="22">
        <v>272</v>
      </c>
      <c r="L24" s="27">
        <v>295</v>
      </c>
      <c r="M24" s="22">
        <v>128</v>
      </c>
      <c r="N24" s="31">
        <f>66+23+5+8+7</f>
        <v>109</v>
      </c>
      <c r="O24" s="32"/>
    </row>
    <row r="25" spans="1:15" ht="15.75" customHeight="1">
      <c r="A25" s="57" t="s">
        <v>42</v>
      </c>
      <c r="B25" s="19" t="s">
        <v>45</v>
      </c>
      <c r="C25" s="22">
        <v>4263</v>
      </c>
      <c r="D25" s="22">
        <v>68</v>
      </c>
      <c r="E25" s="22">
        <v>0</v>
      </c>
      <c r="F25" s="22">
        <v>5</v>
      </c>
      <c r="G25" s="22">
        <v>22</v>
      </c>
      <c r="H25" s="22">
        <v>32</v>
      </c>
      <c r="I25" s="22">
        <v>40</v>
      </c>
      <c r="J25" s="25">
        <v>41</v>
      </c>
      <c r="K25" s="22">
        <v>125</v>
      </c>
      <c r="L25" s="27">
        <v>336</v>
      </c>
      <c r="M25" s="22">
        <v>637</v>
      </c>
      <c r="N25" s="31">
        <f>838+502+555+507+359+111+18+5-N28-N31</f>
        <v>2389</v>
      </c>
      <c r="O25" s="32"/>
    </row>
    <row r="26" spans="1:15" ht="15.75" customHeight="1">
      <c r="A26" s="57"/>
      <c r="B26" s="19" t="s">
        <v>46</v>
      </c>
      <c r="C26" s="22">
        <v>1515</v>
      </c>
      <c r="D26" s="22">
        <v>34</v>
      </c>
      <c r="E26" s="22">
        <v>0</v>
      </c>
      <c r="F26" s="22">
        <v>0</v>
      </c>
      <c r="G26" s="22">
        <v>0</v>
      </c>
      <c r="H26" s="22">
        <v>1</v>
      </c>
      <c r="I26" s="22">
        <v>8</v>
      </c>
      <c r="J26" s="25">
        <v>17</v>
      </c>
      <c r="K26" s="22">
        <v>36</v>
      </c>
      <c r="L26" s="27">
        <v>94</v>
      </c>
      <c r="M26" s="22">
        <v>220</v>
      </c>
      <c r="N26" s="31">
        <f>296+177+215+208+141+53+8-N29-N32</f>
        <v>1059</v>
      </c>
      <c r="O26" s="32"/>
    </row>
    <row r="27" spans="1:15" ht="15.75" customHeight="1">
      <c r="A27" s="57"/>
      <c r="B27" s="19" t="s">
        <v>47</v>
      </c>
      <c r="C27" s="22">
        <v>2748</v>
      </c>
      <c r="D27" s="22">
        <v>34</v>
      </c>
      <c r="E27" s="22">
        <v>0</v>
      </c>
      <c r="F27" s="22">
        <v>5</v>
      </c>
      <c r="G27" s="22">
        <v>22</v>
      </c>
      <c r="H27" s="22">
        <v>31</v>
      </c>
      <c r="I27" s="22">
        <v>32</v>
      </c>
      <c r="J27" s="25">
        <v>24</v>
      </c>
      <c r="K27" s="22">
        <v>89</v>
      </c>
      <c r="L27" s="27">
        <v>242</v>
      </c>
      <c r="M27" s="22">
        <v>417</v>
      </c>
      <c r="N27" s="31">
        <f>542+325+340+299+218+58+15-N30-N33</f>
        <v>1330</v>
      </c>
      <c r="O27" s="32"/>
    </row>
    <row r="28" spans="1:15" ht="15.75" customHeight="1">
      <c r="A28" s="57" t="s">
        <v>4</v>
      </c>
      <c r="B28" s="19" t="s">
        <v>45</v>
      </c>
      <c r="C28" s="22">
        <v>31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5">
        <v>0</v>
      </c>
      <c r="K28" s="22">
        <v>0</v>
      </c>
      <c r="L28" s="27">
        <v>2</v>
      </c>
      <c r="M28" s="22">
        <v>4</v>
      </c>
      <c r="N28" s="31">
        <v>25</v>
      </c>
      <c r="O28" s="32"/>
    </row>
    <row r="29" spans="1:15" ht="15.75" customHeight="1">
      <c r="A29" s="57"/>
      <c r="B29" s="19" t="s">
        <v>46</v>
      </c>
      <c r="C29" s="22">
        <v>13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5">
        <v>0</v>
      </c>
      <c r="K29" s="22">
        <v>0</v>
      </c>
      <c r="L29" s="27">
        <v>0</v>
      </c>
      <c r="M29" s="22">
        <v>0</v>
      </c>
      <c r="N29" s="31">
        <v>13</v>
      </c>
      <c r="O29" s="32"/>
    </row>
    <row r="30" spans="1:15" ht="15.75" customHeight="1">
      <c r="A30" s="57"/>
      <c r="B30" s="19" t="s">
        <v>47</v>
      </c>
      <c r="C30" s="22">
        <v>18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5">
        <v>0</v>
      </c>
      <c r="K30" s="22">
        <v>0</v>
      </c>
      <c r="L30" s="27">
        <v>2</v>
      </c>
      <c r="M30" s="22">
        <v>4</v>
      </c>
      <c r="N30" s="31">
        <v>12</v>
      </c>
      <c r="O30" s="32"/>
    </row>
    <row r="31" spans="1:15" ht="15.75" customHeight="1">
      <c r="A31" s="57" t="s">
        <v>5</v>
      </c>
      <c r="B31" s="19" t="s">
        <v>45</v>
      </c>
      <c r="C31" s="22">
        <v>537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2</v>
      </c>
      <c r="J31" s="25">
        <v>3</v>
      </c>
      <c r="K31" s="22">
        <v>3</v>
      </c>
      <c r="L31" s="27">
        <v>15</v>
      </c>
      <c r="M31" s="22">
        <v>33</v>
      </c>
      <c r="N31" s="31">
        <v>481</v>
      </c>
      <c r="O31" s="32"/>
    </row>
    <row r="32" spans="1:15" ht="15.75" customHeight="1">
      <c r="A32" s="57"/>
      <c r="B32" s="19" t="s">
        <v>46</v>
      </c>
      <c r="C32" s="22">
        <v>33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5">
        <v>0</v>
      </c>
      <c r="K32" s="22">
        <v>0</v>
      </c>
      <c r="L32" s="27">
        <v>2</v>
      </c>
      <c r="M32" s="22">
        <v>5</v>
      </c>
      <c r="N32" s="31">
        <v>26</v>
      </c>
      <c r="O32" s="32"/>
    </row>
    <row r="33" spans="1:15" ht="15.75" customHeight="1">
      <c r="A33" s="59"/>
      <c r="B33" s="20" t="s">
        <v>47</v>
      </c>
      <c r="C33" s="23">
        <v>504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2</v>
      </c>
      <c r="J33" s="26">
        <v>3</v>
      </c>
      <c r="K33" s="23">
        <v>3</v>
      </c>
      <c r="L33" s="28">
        <v>13</v>
      </c>
      <c r="M33" s="23">
        <v>28</v>
      </c>
      <c r="N33" s="34">
        <v>455</v>
      </c>
      <c r="O33" s="32"/>
    </row>
    <row r="34" spans="1:15" s="2" customFormat="1" ht="19.5" customHeight="1">
      <c r="A34" s="3" t="s">
        <v>32</v>
      </c>
      <c r="B34" s="3"/>
      <c r="C34" s="3"/>
      <c r="D34" s="4"/>
      <c r="E34" s="5"/>
      <c r="F34" s="5"/>
      <c r="G34" s="5"/>
      <c r="H34" s="5"/>
      <c r="I34" s="5"/>
      <c r="J34" s="5" t="s">
        <v>56</v>
      </c>
      <c r="K34" s="5"/>
      <c r="L34" s="5"/>
      <c r="M34" s="6"/>
      <c r="O34" s="7"/>
    </row>
  </sheetData>
  <sheetProtection/>
  <mergeCells count="13">
    <mergeCell ref="A7:A9"/>
    <mergeCell ref="A10:A12"/>
    <mergeCell ref="A1:N1"/>
    <mergeCell ref="F2:J2"/>
    <mergeCell ref="K2:L2"/>
    <mergeCell ref="A4:A6"/>
    <mergeCell ref="A31:A33"/>
    <mergeCell ref="A13:A15"/>
    <mergeCell ref="A16:A18"/>
    <mergeCell ref="A19:A21"/>
    <mergeCell ref="A22:A24"/>
    <mergeCell ref="A25:A27"/>
    <mergeCell ref="A28:A3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G35" sqref="G35"/>
    </sheetView>
  </sheetViews>
  <sheetFormatPr defaultColWidth="9.00390625" defaultRowHeight="15.75" customHeight="1"/>
  <cols>
    <col min="1" max="1" width="10.125" style="13" customWidth="1"/>
    <col min="2" max="2" width="5.875" style="11" customWidth="1"/>
    <col min="3" max="3" width="10.125" style="11" customWidth="1"/>
    <col min="4" max="13" width="8.75390625" style="13" customWidth="1"/>
    <col min="14" max="14" width="9.875" style="16" customWidth="1"/>
    <col min="15" max="16384" width="9.00390625" style="13" customWidth="1"/>
  </cols>
  <sheetData>
    <row r="1" spans="1:14" s="14" customFormat="1" ht="21" customHeight="1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s="14" customFormat="1" ht="21" customHeight="1">
      <c r="B2" s="9"/>
      <c r="C2" s="9"/>
      <c r="D2" s="9"/>
      <c r="E2" s="9"/>
      <c r="F2" s="54" t="s">
        <v>54</v>
      </c>
      <c r="G2" s="54"/>
      <c r="H2" s="54"/>
      <c r="I2" s="54"/>
      <c r="J2" s="54"/>
      <c r="K2" s="55" t="s">
        <v>15</v>
      </c>
      <c r="L2" s="55"/>
      <c r="N2" s="15"/>
    </row>
    <row r="3" spans="1:15" ht="18.75" customHeight="1">
      <c r="A3" s="33" t="s">
        <v>48</v>
      </c>
      <c r="B3" s="12" t="s">
        <v>49</v>
      </c>
      <c r="C3" s="12" t="s">
        <v>20</v>
      </c>
      <c r="D3" s="10" t="s">
        <v>19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27</v>
      </c>
      <c r="L3" s="10" t="s">
        <v>28</v>
      </c>
      <c r="M3" s="10" t="s">
        <v>29</v>
      </c>
      <c r="N3" s="30" t="s">
        <v>30</v>
      </c>
      <c r="O3" s="32"/>
    </row>
    <row r="4" spans="1:15" ht="15.75" customHeight="1">
      <c r="A4" s="56" t="s">
        <v>44</v>
      </c>
      <c r="B4" s="18" t="s">
        <v>45</v>
      </c>
      <c r="C4" s="21">
        <v>19432</v>
      </c>
      <c r="D4" s="21">
        <v>1240</v>
      </c>
      <c r="E4" s="21">
        <v>1506</v>
      </c>
      <c r="F4" s="21">
        <v>1541</v>
      </c>
      <c r="G4" s="21">
        <v>1543</v>
      </c>
      <c r="H4" s="21">
        <v>1584</v>
      </c>
      <c r="I4" s="21">
        <v>1590</v>
      </c>
      <c r="J4" s="24">
        <v>1604</v>
      </c>
      <c r="K4" s="21">
        <v>1920</v>
      </c>
      <c r="L4" s="29">
        <v>1879</v>
      </c>
      <c r="M4" s="21">
        <v>1448</v>
      </c>
      <c r="N4" s="31">
        <f>C4-SUM(D4:M4)</f>
        <v>3577</v>
      </c>
      <c r="O4" s="32"/>
    </row>
    <row r="5" spans="1:15" ht="15.75" customHeight="1">
      <c r="A5" s="56"/>
      <c r="B5" s="19" t="s">
        <v>46</v>
      </c>
      <c r="C5" s="22">
        <v>9910</v>
      </c>
      <c r="D5" s="22">
        <v>632</v>
      </c>
      <c r="E5" s="22">
        <v>800</v>
      </c>
      <c r="F5" s="22">
        <v>844</v>
      </c>
      <c r="G5" s="22">
        <v>809</v>
      </c>
      <c r="H5" s="22">
        <v>792</v>
      </c>
      <c r="I5" s="22">
        <v>805</v>
      </c>
      <c r="J5" s="25">
        <v>818</v>
      </c>
      <c r="K5" s="22">
        <v>1040</v>
      </c>
      <c r="L5" s="27">
        <v>1011</v>
      </c>
      <c r="M5" s="22">
        <v>744</v>
      </c>
      <c r="N5" s="31">
        <f aca="true" t="shared" si="0" ref="N5:N33">C5-SUM(D5:M5)</f>
        <v>1615</v>
      </c>
      <c r="O5" s="32"/>
    </row>
    <row r="6" spans="1:15" ht="15.75" customHeight="1">
      <c r="A6" s="56"/>
      <c r="B6" s="19" t="s">
        <v>47</v>
      </c>
      <c r="C6" s="22">
        <v>9522</v>
      </c>
      <c r="D6" s="22">
        <v>608</v>
      </c>
      <c r="E6" s="22">
        <v>706</v>
      </c>
      <c r="F6" s="22">
        <v>697</v>
      </c>
      <c r="G6" s="22">
        <v>734</v>
      </c>
      <c r="H6" s="22">
        <v>792</v>
      </c>
      <c r="I6" s="22">
        <v>785</v>
      </c>
      <c r="J6" s="25">
        <v>786</v>
      </c>
      <c r="K6" s="22">
        <v>880</v>
      </c>
      <c r="L6" s="27">
        <v>868</v>
      </c>
      <c r="M6" s="22">
        <v>704</v>
      </c>
      <c r="N6" s="31">
        <f t="shared" si="0"/>
        <v>1962</v>
      </c>
      <c r="O6" s="32"/>
    </row>
    <row r="7" spans="1:15" ht="15.75" customHeight="1">
      <c r="A7" s="57" t="s">
        <v>37</v>
      </c>
      <c r="B7" s="19" t="s">
        <v>45</v>
      </c>
      <c r="C7" s="22">
        <v>17</v>
      </c>
      <c r="D7" s="22">
        <v>0</v>
      </c>
      <c r="E7" s="22">
        <v>0</v>
      </c>
      <c r="F7" s="22">
        <v>0</v>
      </c>
      <c r="G7" s="22">
        <v>2</v>
      </c>
      <c r="H7" s="22">
        <v>3</v>
      </c>
      <c r="I7" s="22">
        <v>2</v>
      </c>
      <c r="J7" s="25">
        <v>2</v>
      </c>
      <c r="K7" s="22">
        <v>4</v>
      </c>
      <c r="L7" s="27">
        <v>3</v>
      </c>
      <c r="M7" s="22">
        <v>1</v>
      </c>
      <c r="N7" s="31">
        <f t="shared" si="0"/>
        <v>0</v>
      </c>
      <c r="O7" s="32"/>
    </row>
    <row r="8" spans="1:15" ht="15.75" customHeight="1">
      <c r="A8" s="57"/>
      <c r="B8" s="19" t="s">
        <v>46</v>
      </c>
      <c r="C8" s="22">
        <v>10</v>
      </c>
      <c r="D8" s="22">
        <v>0</v>
      </c>
      <c r="E8" s="22">
        <v>0</v>
      </c>
      <c r="F8" s="22">
        <v>0</v>
      </c>
      <c r="G8" s="22">
        <v>2</v>
      </c>
      <c r="H8" s="22">
        <v>2</v>
      </c>
      <c r="I8" s="22">
        <v>1</v>
      </c>
      <c r="J8" s="25">
        <v>2</v>
      </c>
      <c r="K8" s="22">
        <v>2</v>
      </c>
      <c r="L8" s="27">
        <v>0</v>
      </c>
      <c r="M8" s="22">
        <v>1</v>
      </c>
      <c r="N8" s="31">
        <f t="shared" si="0"/>
        <v>0</v>
      </c>
      <c r="O8" s="32"/>
    </row>
    <row r="9" spans="1:15" ht="15.75" customHeight="1">
      <c r="A9" s="57"/>
      <c r="B9" s="19" t="s">
        <v>47</v>
      </c>
      <c r="C9" s="22">
        <v>7</v>
      </c>
      <c r="D9" s="22">
        <v>0</v>
      </c>
      <c r="E9" s="22">
        <v>0</v>
      </c>
      <c r="F9" s="22">
        <v>0</v>
      </c>
      <c r="G9" s="22">
        <v>0</v>
      </c>
      <c r="H9" s="22">
        <v>1</v>
      </c>
      <c r="I9" s="22">
        <v>1</v>
      </c>
      <c r="J9" s="25">
        <v>0</v>
      </c>
      <c r="K9" s="22">
        <v>2</v>
      </c>
      <c r="L9" s="27">
        <v>3</v>
      </c>
      <c r="M9" s="22">
        <v>0</v>
      </c>
      <c r="N9" s="31">
        <f t="shared" si="0"/>
        <v>0</v>
      </c>
      <c r="O9" s="32"/>
    </row>
    <row r="10" spans="1:15" ht="15.75" customHeight="1">
      <c r="A10" s="57" t="s">
        <v>38</v>
      </c>
      <c r="B10" s="19" t="s">
        <v>45</v>
      </c>
      <c r="C10" s="22">
        <v>538</v>
      </c>
      <c r="D10" s="22">
        <v>0</v>
      </c>
      <c r="E10" s="22">
        <v>11</v>
      </c>
      <c r="F10" s="22">
        <v>128</v>
      </c>
      <c r="G10" s="22">
        <v>121</v>
      </c>
      <c r="H10" s="22">
        <v>93</v>
      </c>
      <c r="I10" s="22">
        <v>71</v>
      </c>
      <c r="J10" s="25">
        <v>45</v>
      </c>
      <c r="K10" s="22">
        <v>39</v>
      </c>
      <c r="L10" s="27">
        <v>19</v>
      </c>
      <c r="M10" s="22">
        <v>7</v>
      </c>
      <c r="N10" s="31">
        <f t="shared" si="0"/>
        <v>4</v>
      </c>
      <c r="O10" s="32"/>
    </row>
    <row r="11" spans="1:15" ht="15.75" customHeight="1">
      <c r="A11" s="57"/>
      <c r="B11" s="19" t="s">
        <v>46</v>
      </c>
      <c r="C11" s="22">
        <v>338</v>
      </c>
      <c r="D11" s="22">
        <v>0</v>
      </c>
      <c r="E11" s="22">
        <v>5</v>
      </c>
      <c r="F11" s="22">
        <v>92</v>
      </c>
      <c r="G11" s="22">
        <v>66</v>
      </c>
      <c r="H11" s="22">
        <v>51</v>
      </c>
      <c r="I11" s="22">
        <v>48</v>
      </c>
      <c r="J11" s="25">
        <v>27</v>
      </c>
      <c r="K11" s="22">
        <v>27</v>
      </c>
      <c r="L11" s="27">
        <v>14</v>
      </c>
      <c r="M11" s="22">
        <v>6</v>
      </c>
      <c r="N11" s="31">
        <f t="shared" si="0"/>
        <v>2</v>
      </c>
      <c r="O11" s="32"/>
    </row>
    <row r="12" spans="1:15" ht="15.75" customHeight="1">
      <c r="A12" s="57"/>
      <c r="B12" s="19" t="s">
        <v>47</v>
      </c>
      <c r="C12" s="22">
        <v>200</v>
      </c>
      <c r="D12" s="22">
        <v>0</v>
      </c>
      <c r="E12" s="22">
        <v>6</v>
      </c>
      <c r="F12" s="22">
        <v>36</v>
      </c>
      <c r="G12" s="22">
        <v>55</v>
      </c>
      <c r="H12" s="22">
        <v>42</v>
      </c>
      <c r="I12" s="22">
        <v>23</v>
      </c>
      <c r="J12" s="25">
        <v>18</v>
      </c>
      <c r="K12" s="22">
        <v>12</v>
      </c>
      <c r="L12" s="27">
        <v>5</v>
      </c>
      <c r="M12" s="22">
        <v>1</v>
      </c>
      <c r="N12" s="31">
        <f t="shared" si="0"/>
        <v>2</v>
      </c>
      <c r="O12" s="32"/>
    </row>
    <row r="13" spans="1:15" ht="15.75" customHeight="1">
      <c r="A13" s="57" t="s">
        <v>39</v>
      </c>
      <c r="B13" s="19" t="s">
        <v>45</v>
      </c>
      <c r="C13" s="22">
        <v>3255</v>
      </c>
      <c r="D13" s="22">
        <v>0</v>
      </c>
      <c r="E13" s="22">
        <v>524</v>
      </c>
      <c r="F13" s="22">
        <v>898</v>
      </c>
      <c r="G13" s="22">
        <v>651</v>
      </c>
      <c r="H13" s="22">
        <v>419</v>
      </c>
      <c r="I13" s="22">
        <v>278</v>
      </c>
      <c r="J13" s="25">
        <v>193</v>
      </c>
      <c r="K13" s="22">
        <v>120</v>
      </c>
      <c r="L13" s="27">
        <v>73</v>
      </c>
      <c r="M13" s="22">
        <v>52</v>
      </c>
      <c r="N13" s="31">
        <f t="shared" si="0"/>
        <v>47</v>
      </c>
      <c r="O13" s="32"/>
    </row>
    <row r="14" spans="1:15" ht="15.75" customHeight="1">
      <c r="A14" s="57"/>
      <c r="B14" s="19" t="s">
        <v>46</v>
      </c>
      <c r="C14" s="22">
        <v>1662</v>
      </c>
      <c r="D14" s="22">
        <v>0</v>
      </c>
      <c r="E14" s="22">
        <v>260</v>
      </c>
      <c r="F14" s="22">
        <v>422</v>
      </c>
      <c r="G14" s="22">
        <v>325</v>
      </c>
      <c r="H14" s="22">
        <v>211</v>
      </c>
      <c r="I14" s="22">
        <v>133</v>
      </c>
      <c r="J14" s="25">
        <v>108</v>
      </c>
      <c r="K14" s="22">
        <v>73</v>
      </c>
      <c r="L14" s="27">
        <v>48</v>
      </c>
      <c r="M14" s="22">
        <v>42</v>
      </c>
      <c r="N14" s="31">
        <f t="shared" si="0"/>
        <v>40</v>
      </c>
      <c r="O14" s="32"/>
    </row>
    <row r="15" spans="1:15" ht="15.75" customHeight="1">
      <c r="A15" s="57"/>
      <c r="B15" s="19" t="s">
        <v>47</v>
      </c>
      <c r="C15" s="22">
        <v>1593</v>
      </c>
      <c r="D15" s="22">
        <v>0</v>
      </c>
      <c r="E15" s="22">
        <v>264</v>
      </c>
      <c r="F15" s="22">
        <v>476</v>
      </c>
      <c r="G15" s="22">
        <v>326</v>
      </c>
      <c r="H15" s="22">
        <v>208</v>
      </c>
      <c r="I15" s="22">
        <v>145</v>
      </c>
      <c r="J15" s="25">
        <v>85</v>
      </c>
      <c r="K15" s="22">
        <v>47</v>
      </c>
      <c r="L15" s="27">
        <v>25</v>
      </c>
      <c r="M15" s="22">
        <v>10</v>
      </c>
      <c r="N15" s="31">
        <f t="shared" si="0"/>
        <v>7</v>
      </c>
      <c r="O15" s="32"/>
    </row>
    <row r="16" spans="1:15" ht="15.75" customHeight="1">
      <c r="A16" s="57" t="s">
        <v>40</v>
      </c>
      <c r="B16" s="19" t="s">
        <v>45</v>
      </c>
      <c r="C16" s="22">
        <v>1527</v>
      </c>
      <c r="D16" s="22">
        <v>0</v>
      </c>
      <c r="E16" s="22">
        <v>89</v>
      </c>
      <c r="F16" s="22">
        <v>69</v>
      </c>
      <c r="G16" s="22">
        <v>107</v>
      </c>
      <c r="H16" s="22">
        <v>260</v>
      </c>
      <c r="I16" s="22">
        <v>303</v>
      </c>
      <c r="J16" s="25">
        <v>213</v>
      </c>
      <c r="K16" s="22">
        <v>175</v>
      </c>
      <c r="L16" s="27">
        <v>133</v>
      </c>
      <c r="M16" s="22">
        <v>82</v>
      </c>
      <c r="N16" s="31">
        <f t="shared" si="0"/>
        <v>96</v>
      </c>
      <c r="O16" s="32"/>
    </row>
    <row r="17" spans="1:15" ht="15.75" customHeight="1">
      <c r="A17" s="57"/>
      <c r="B17" s="19" t="s">
        <v>46</v>
      </c>
      <c r="C17" s="22">
        <v>919</v>
      </c>
      <c r="D17" s="22">
        <v>0</v>
      </c>
      <c r="E17" s="22">
        <v>40</v>
      </c>
      <c r="F17" s="22">
        <v>48</v>
      </c>
      <c r="G17" s="22">
        <v>61</v>
      </c>
      <c r="H17" s="22">
        <v>117</v>
      </c>
      <c r="I17" s="22">
        <v>163</v>
      </c>
      <c r="J17" s="25">
        <v>116</v>
      </c>
      <c r="K17" s="22">
        <v>123</v>
      </c>
      <c r="L17" s="27">
        <v>104</v>
      </c>
      <c r="M17" s="22">
        <v>68</v>
      </c>
      <c r="N17" s="31">
        <f t="shared" si="0"/>
        <v>79</v>
      </c>
      <c r="O17" s="32"/>
    </row>
    <row r="18" spans="1:15" ht="15.75" customHeight="1">
      <c r="A18" s="57"/>
      <c r="B18" s="19" t="s">
        <v>47</v>
      </c>
      <c r="C18" s="22">
        <v>608</v>
      </c>
      <c r="D18" s="22">
        <v>0</v>
      </c>
      <c r="E18" s="22">
        <v>49</v>
      </c>
      <c r="F18" s="22">
        <v>21</v>
      </c>
      <c r="G18" s="22">
        <v>46</v>
      </c>
      <c r="H18" s="22">
        <v>143</v>
      </c>
      <c r="I18" s="22">
        <v>140</v>
      </c>
      <c r="J18" s="25">
        <v>97</v>
      </c>
      <c r="K18" s="22">
        <v>52</v>
      </c>
      <c r="L18" s="27">
        <v>29</v>
      </c>
      <c r="M18" s="22">
        <v>14</v>
      </c>
      <c r="N18" s="31">
        <f t="shared" si="0"/>
        <v>17</v>
      </c>
      <c r="O18" s="32"/>
    </row>
    <row r="19" spans="1:15" ht="15.75" customHeight="1">
      <c r="A19" s="57" t="s">
        <v>41</v>
      </c>
      <c r="B19" s="19" t="s">
        <v>45</v>
      </c>
      <c r="C19" s="22">
        <v>6166</v>
      </c>
      <c r="D19" s="22">
        <v>431</v>
      </c>
      <c r="E19" s="22">
        <v>841</v>
      </c>
      <c r="F19" s="22">
        <v>368</v>
      </c>
      <c r="G19" s="22">
        <v>455</v>
      </c>
      <c r="H19" s="22">
        <v>628</v>
      </c>
      <c r="I19" s="22">
        <v>660</v>
      </c>
      <c r="J19" s="25">
        <v>756</v>
      </c>
      <c r="K19" s="22">
        <v>816</v>
      </c>
      <c r="L19" s="27">
        <v>639</v>
      </c>
      <c r="M19" s="22">
        <v>309</v>
      </c>
      <c r="N19" s="31">
        <f t="shared" si="0"/>
        <v>263</v>
      </c>
      <c r="O19" s="32"/>
    </row>
    <row r="20" spans="1:15" ht="15.75" customHeight="1">
      <c r="A20" s="57"/>
      <c r="B20" s="19" t="s">
        <v>46</v>
      </c>
      <c r="C20" s="22">
        <v>3554</v>
      </c>
      <c r="D20" s="22">
        <v>244</v>
      </c>
      <c r="E20" s="22">
        <v>472</v>
      </c>
      <c r="F20" s="22">
        <v>237</v>
      </c>
      <c r="G20" s="22">
        <v>250</v>
      </c>
      <c r="H20" s="22">
        <v>348</v>
      </c>
      <c r="I20" s="22">
        <v>329</v>
      </c>
      <c r="J20" s="25">
        <v>383</v>
      </c>
      <c r="K20" s="22">
        <v>452</v>
      </c>
      <c r="L20" s="27">
        <v>405</v>
      </c>
      <c r="M20" s="22">
        <v>219</v>
      </c>
      <c r="N20" s="31">
        <f t="shared" si="0"/>
        <v>215</v>
      </c>
      <c r="O20" s="32"/>
    </row>
    <row r="21" spans="1:15" ht="15.75" customHeight="1">
      <c r="A21" s="57"/>
      <c r="B21" s="19" t="s">
        <v>47</v>
      </c>
      <c r="C21" s="22">
        <v>2612</v>
      </c>
      <c r="D21" s="22">
        <v>187</v>
      </c>
      <c r="E21" s="22">
        <v>369</v>
      </c>
      <c r="F21" s="22">
        <v>131</v>
      </c>
      <c r="G21" s="22">
        <v>205</v>
      </c>
      <c r="H21" s="22">
        <v>280</v>
      </c>
      <c r="I21" s="22">
        <v>331</v>
      </c>
      <c r="J21" s="25">
        <v>373</v>
      </c>
      <c r="K21" s="22">
        <v>364</v>
      </c>
      <c r="L21" s="27">
        <v>234</v>
      </c>
      <c r="M21" s="22">
        <v>90</v>
      </c>
      <c r="N21" s="31">
        <f t="shared" si="0"/>
        <v>48</v>
      </c>
      <c r="O21" s="32"/>
    </row>
    <row r="22" spans="1:15" ht="15.75" customHeight="1">
      <c r="A22" s="57" t="s">
        <v>43</v>
      </c>
      <c r="B22" s="19" t="s">
        <v>45</v>
      </c>
      <c r="C22" s="22">
        <v>3483</v>
      </c>
      <c r="D22" s="22">
        <v>736</v>
      </c>
      <c r="E22" s="22">
        <v>41</v>
      </c>
      <c r="F22" s="22">
        <v>73</v>
      </c>
      <c r="G22" s="22">
        <v>184</v>
      </c>
      <c r="H22" s="22">
        <v>144</v>
      </c>
      <c r="I22" s="22">
        <v>233</v>
      </c>
      <c r="J22" s="25">
        <v>349</v>
      </c>
      <c r="K22" s="22">
        <v>606</v>
      </c>
      <c r="L22" s="27">
        <v>604</v>
      </c>
      <c r="M22" s="22">
        <v>246</v>
      </c>
      <c r="N22" s="31">
        <f t="shared" si="0"/>
        <v>267</v>
      </c>
      <c r="O22" s="32"/>
    </row>
    <row r="23" spans="1:15" ht="15.75" customHeight="1">
      <c r="A23" s="57"/>
      <c r="B23" s="19" t="s">
        <v>46</v>
      </c>
      <c r="C23" s="22">
        <v>1817</v>
      </c>
      <c r="D23" s="22">
        <v>350</v>
      </c>
      <c r="E23" s="22">
        <v>23</v>
      </c>
      <c r="F23" s="22">
        <v>45</v>
      </c>
      <c r="G23" s="22">
        <v>105</v>
      </c>
      <c r="H23" s="22">
        <v>62</v>
      </c>
      <c r="I23" s="22">
        <v>118</v>
      </c>
      <c r="J23" s="25">
        <v>163</v>
      </c>
      <c r="K23" s="22">
        <v>319</v>
      </c>
      <c r="L23" s="27">
        <v>323</v>
      </c>
      <c r="M23" s="22">
        <v>143</v>
      </c>
      <c r="N23" s="31">
        <f t="shared" si="0"/>
        <v>166</v>
      </c>
      <c r="O23" s="32"/>
    </row>
    <row r="24" spans="1:15" ht="15.75" customHeight="1">
      <c r="A24" s="57"/>
      <c r="B24" s="19" t="s">
        <v>47</v>
      </c>
      <c r="C24" s="22">
        <v>1666</v>
      </c>
      <c r="D24" s="22">
        <v>386</v>
      </c>
      <c r="E24" s="22">
        <v>18</v>
      </c>
      <c r="F24" s="22">
        <v>28</v>
      </c>
      <c r="G24" s="22">
        <v>79</v>
      </c>
      <c r="H24" s="22">
        <v>82</v>
      </c>
      <c r="I24" s="22">
        <v>115</v>
      </c>
      <c r="J24" s="25">
        <v>186</v>
      </c>
      <c r="K24" s="22">
        <v>287</v>
      </c>
      <c r="L24" s="27">
        <v>281</v>
      </c>
      <c r="M24" s="22">
        <v>103</v>
      </c>
      <c r="N24" s="31">
        <f t="shared" si="0"/>
        <v>101</v>
      </c>
      <c r="O24" s="32"/>
    </row>
    <row r="25" spans="1:15" ht="15.75" customHeight="1">
      <c r="A25" s="57" t="s">
        <v>42</v>
      </c>
      <c r="B25" s="19" t="s">
        <v>45</v>
      </c>
      <c r="C25" s="22">
        <v>4446</v>
      </c>
      <c r="D25" s="22">
        <v>73</v>
      </c>
      <c r="E25" s="22">
        <v>0</v>
      </c>
      <c r="F25" s="22">
        <v>5</v>
      </c>
      <c r="G25" s="22">
        <v>23</v>
      </c>
      <c r="H25" s="22">
        <v>37</v>
      </c>
      <c r="I25" s="22">
        <v>43</v>
      </c>
      <c r="J25" s="25">
        <v>46</v>
      </c>
      <c r="K25" s="22">
        <v>160</v>
      </c>
      <c r="L25" s="27">
        <v>408</v>
      </c>
      <c r="M25" s="22">
        <v>751</v>
      </c>
      <c r="N25" s="31">
        <f t="shared" si="0"/>
        <v>2900</v>
      </c>
      <c r="O25" s="32"/>
    </row>
    <row r="26" spans="1:15" ht="15.75" customHeight="1">
      <c r="A26" s="57"/>
      <c r="B26" s="19" t="s">
        <v>46</v>
      </c>
      <c r="C26" s="22">
        <v>1610</v>
      </c>
      <c r="D26" s="22">
        <v>38</v>
      </c>
      <c r="E26" s="22">
        <v>0</v>
      </c>
      <c r="F26" s="22">
        <v>0</v>
      </c>
      <c r="G26" s="22">
        <v>0</v>
      </c>
      <c r="H26" s="22">
        <v>1</v>
      </c>
      <c r="I26" s="22">
        <v>13</v>
      </c>
      <c r="J26" s="25">
        <v>19</v>
      </c>
      <c r="K26" s="22">
        <v>44</v>
      </c>
      <c r="L26" s="27">
        <v>117</v>
      </c>
      <c r="M26" s="22">
        <v>265</v>
      </c>
      <c r="N26" s="31">
        <f t="shared" si="0"/>
        <v>1113</v>
      </c>
      <c r="O26" s="32"/>
    </row>
    <row r="27" spans="1:15" ht="15.75" customHeight="1">
      <c r="A27" s="57"/>
      <c r="B27" s="19" t="s">
        <v>47</v>
      </c>
      <c r="C27" s="22">
        <v>2836</v>
      </c>
      <c r="D27" s="22">
        <v>35</v>
      </c>
      <c r="E27" s="22">
        <v>0</v>
      </c>
      <c r="F27" s="22">
        <v>5</v>
      </c>
      <c r="G27" s="22">
        <v>23</v>
      </c>
      <c r="H27" s="22">
        <v>36</v>
      </c>
      <c r="I27" s="22">
        <v>30</v>
      </c>
      <c r="J27" s="25">
        <v>27</v>
      </c>
      <c r="K27" s="22">
        <v>116</v>
      </c>
      <c r="L27" s="27">
        <v>291</v>
      </c>
      <c r="M27" s="22">
        <v>486</v>
      </c>
      <c r="N27" s="31">
        <f t="shared" si="0"/>
        <v>1787</v>
      </c>
      <c r="O27" s="32"/>
    </row>
    <row r="28" spans="1:15" ht="15.75" customHeight="1">
      <c r="A28" s="57" t="s">
        <v>4</v>
      </c>
      <c r="B28" s="19" t="s">
        <v>45</v>
      </c>
      <c r="C28" s="22">
        <v>32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5">
        <v>0</v>
      </c>
      <c r="K28" s="22">
        <v>0</v>
      </c>
      <c r="L28" s="27">
        <v>2</v>
      </c>
      <c r="M28" s="22">
        <v>4</v>
      </c>
      <c r="N28" s="31">
        <f t="shared" si="0"/>
        <v>26</v>
      </c>
      <c r="O28" s="32"/>
    </row>
    <row r="29" spans="1:15" ht="15.75" customHeight="1">
      <c r="A29" s="57"/>
      <c r="B29" s="19" t="s">
        <v>46</v>
      </c>
      <c r="C29" s="22">
        <v>13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5">
        <v>0</v>
      </c>
      <c r="K29" s="22">
        <v>0</v>
      </c>
      <c r="L29" s="27">
        <v>0</v>
      </c>
      <c r="M29" s="22">
        <v>0</v>
      </c>
      <c r="N29" s="31">
        <f t="shared" si="0"/>
        <v>13</v>
      </c>
      <c r="O29" s="32"/>
    </row>
    <row r="30" spans="1:15" ht="15.75" customHeight="1">
      <c r="A30" s="57"/>
      <c r="B30" s="19" t="s">
        <v>47</v>
      </c>
      <c r="C30" s="22">
        <v>19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5">
        <v>0</v>
      </c>
      <c r="K30" s="22">
        <v>0</v>
      </c>
      <c r="L30" s="27">
        <v>2</v>
      </c>
      <c r="M30" s="22">
        <v>4</v>
      </c>
      <c r="N30" s="31">
        <f t="shared" si="0"/>
        <v>13</v>
      </c>
      <c r="O30" s="32"/>
    </row>
    <row r="31" spans="1:15" ht="15.75" customHeight="1">
      <c r="A31" s="57" t="s">
        <v>5</v>
      </c>
      <c r="B31" s="19" t="s">
        <v>45</v>
      </c>
      <c r="C31" s="22">
        <v>581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3</v>
      </c>
      <c r="J31" s="25">
        <v>3</v>
      </c>
      <c r="K31" s="22">
        <v>5</v>
      </c>
      <c r="L31" s="27">
        <v>16</v>
      </c>
      <c r="M31" s="22">
        <v>41</v>
      </c>
      <c r="N31" s="31">
        <f t="shared" si="0"/>
        <v>513</v>
      </c>
      <c r="O31" s="32"/>
    </row>
    <row r="32" spans="1:15" ht="15.75" customHeight="1">
      <c r="A32" s="57"/>
      <c r="B32" s="19" t="s">
        <v>46</v>
      </c>
      <c r="C32" s="22">
        <v>35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5">
        <v>0</v>
      </c>
      <c r="K32" s="22">
        <v>1</v>
      </c>
      <c r="L32" s="27">
        <v>2</v>
      </c>
      <c r="M32" s="22">
        <v>7</v>
      </c>
      <c r="N32" s="31">
        <f t="shared" si="0"/>
        <v>25</v>
      </c>
      <c r="O32" s="32"/>
    </row>
    <row r="33" spans="1:15" ht="15.75" customHeight="1">
      <c r="A33" s="59"/>
      <c r="B33" s="20" t="s">
        <v>47</v>
      </c>
      <c r="C33" s="23">
        <v>546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3</v>
      </c>
      <c r="J33" s="26">
        <v>3</v>
      </c>
      <c r="K33" s="23">
        <v>4</v>
      </c>
      <c r="L33" s="28">
        <v>14</v>
      </c>
      <c r="M33" s="23">
        <v>34</v>
      </c>
      <c r="N33" s="31">
        <f t="shared" si="0"/>
        <v>488</v>
      </c>
      <c r="O33" s="32"/>
    </row>
    <row r="34" spans="1:15" s="2" customFormat="1" ht="19.5" customHeight="1">
      <c r="A34" s="3" t="s">
        <v>32</v>
      </c>
      <c r="B34" s="3"/>
      <c r="C34" s="3"/>
      <c r="D34" s="4"/>
      <c r="E34" s="5"/>
      <c r="F34" s="5"/>
      <c r="G34" s="5"/>
      <c r="H34" s="5"/>
      <c r="I34" s="5"/>
      <c r="J34" s="5" t="s">
        <v>36</v>
      </c>
      <c r="K34" s="5"/>
      <c r="L34" s="5"/>
      <c r="M34" s="6"/>
      <c r="O34" s="7"/>
    </row>
  </sheetData>
  <sheetProtection/>
  <mergeCells count="13">
    <mergeCell ref="A7:A9"/>
    <mergeCell ref="A10:A12"/>
    <mergeCell ref="A1:N1"/>
    <mergeCell ref="F2:J2"/>
    <mergeCell ref="K2:L2"/>
    <mergeCell ref="A4:A6"/>
    <mergeCell ref="A31:A33"/>
    <mergeCell ref="A13:A15"/>
    <mergeCell ref="A16:A18"/>
    <mergeCell ref="A19:A21"/>
    <mergeCell ref="A22:A24"/>
    <mergeCell ref="A25:A27"/>
    <mergeCell ref="A28:A3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C1">
      <selection activeCell="N4" sqref="N4"/>
    </sheetView>
  </sheetViews>
  <sheetFormatPr defaultColWidth="9.00390625" defaultRowHeight="15.75" customHeight="1"/>
  <cols>
    <col min="1" max="1" width="10.125" style="13" customWidth="1"/>
    <col min="2" max="2" width="5.875" style="11" customWidth="1"/>
    <col min="3" max="3" width="10.125" style="11" customWidth="1"/>
    <col min="4" max="13" width="8.75390625" style="13" customWidth="1"/>
    <col min="14" max="14" width="9.875" style="16" customWidth="1"/>
    <col min="15" max="16384" width="9.00390625" style="13" customWidth="1"/>
  </cols>
  <sheetData>
    <row r="1" spans="1:14" s="14" customFormat="1" ht="21" customHeight="1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s="14" customFormat="1" ht="21" customHeight="1">
      <c r="B2" s="9"/>
      <c r="C2" s="9"/>
      <c r="D2" s="9"/>
      <c r="E2" s="9"/>
      <c r="F2" s="54" t="s">
        <v>53</v>
      </c>
      <c r="G2" s="54"/>
      <c r="H2" s="54"/>
      <c r="I2" s="54"/>
      <c r="J2" s="54"/>
      <c r="K2" s="55" t="s">
        <v>15</v>
      </c>
      <c r="L2" s="55"/>
      <c r="N2" s="15"/>
    </row>
    <row r="3" spans="1:15" ht="18.75" customHeight="1">
      <c r="A3" s="33" t="s">
        <v>48</v>
      </c>
      <c r="B3" s="12" t="s">
        <v>49</v>
      </c>
      <c r="C3" s="12" t="s">
        <v>20</v>
      </c>
      <c r="D3" s="10" t="s">
        <v>19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27</v>
      </c>
      <c r="L3" s="10" t="s">
        <v>28</v>
      </c>
      <c r="M3" s="10" t="s">
        <v>29</v>
      </c>
      <c r="N3" s="30" t="s">
        <v>30</v>
      </c>
      <c r="O3" s="32"/>
    </row>
    <row r="4" spans="1:15" ht="15.75" customHeight="1">
      <c r="A4" s="56" t="s">
        <v>44</v>
      </c>
      <c r="B4" s="18" t="s">
        <v>45</v>
      </c>
      <c r="C4" s="21">
        <v>19505</v>
      </c>
      <c r="D4" s="21">
        <v>1299</v>
      </c>
      <c r="E4" s="21">
        <v>1518</v>
      </c>
      <c r="F4" s="21">
        <v>1538</v>
      </c>
      <c r="G4" s="21">
        <v>1631</v>
      </c>
      <c r="H4" s="21">
        <v>1610</v>
      </c>
      <c r="I4" s="21">
        <v>1552</v>
      </c>
      <c r="J4" s="24">
        <v>1693</v>
      </c>
      <c r="K4" s="21">
        <v>1936</v>
      </c>
      <c r="L4" s="29">
        <v>1776</v>
      </c>
      <c r="M4" s="21">
        <v>1441</v>
      </c>
      <c r="N4" s="31">
        <f>C4-SUM(D4:M4)</f>
        <v>3511</v>
      </c>
      <c r="O4" s="32"/>
    </row>
    <row r="5" spans="1:15" ht="15.75" customHeight="1">
      <c r="A5" s="56"/>
      <c r="B5" s="19" t="s">
        <v>46</v>
      </c>
      <c r="C5" s="22">
        <v>9972</v>
      </c>
      <c r="D5" s="22">
        <v>671</v>
      </c>
      <c r="E5" s="22">
        <v>811</v>
      </c>
      <c r="F5" s="22">
        <v>818</v>
      </c>
      <c r="G5" s="22">
        <v>855</v>
      </c>
      <c r="H5" s="22">
        <v>782</v>
      </c>
      <c r="I5" s="22">
        <v>803</v>
      </c>
      <c r="J5" s="25">
        <v>874</v>
      </c>
      <c r="K5" s="22">
        <v>1088</v>
      </c>
      <c r="L5" s="27">
        <v>937</v>
      </c>
      <c r="M5" s="22">
        <v>716</v>
      </c>
      <c r="N5" s="31">
        <f aca="true" t="shared" si="0" ref="N5:N33">C5-SUM(D5:M5)</f>
        <v>1617</v>
      </c>
      <c r="O5" s="32"/>
    </row>
    <row r="6" spans="1:15" ht="15.75" customHeight="1">
      <c r="A6" s="56"/>
      <c r="B6" s="19" t="s">
        <v>47</v>
      </c>
      <c r="C6" s="22">
        <v>9533</v>
      </c>
      <c r="D6" s="22">
        <v>628</v>
      </c>
      <c r="E6" s="22">
        <v>707</v>
      </c>
      <c r="F6" s="22">
        <v>720</v>
      </c>
      <c r="G6" s="22">
        <v>776</v>
      </c>
      <c r="H6" s="22">
        <v>828</v>
      </c>
      <c r="I6" s="22">
        <v>749</v>
      </c>
      <c r="J6" s="25">
        <v>819</v>
      </c>
      <c r="K6" s="22">
        <v>848</v>
      </c>
      <c r="L6" s="27">
        <v>839</v>
      </c>
      <c r="M6" s="22">
        <v>725</v>
      </c>
      <c r="N6" s="31">
        <f t="shared" si="0"/>
        <v>1894</v>
      </c>
      <c r="O6" s="32"/>
    </row>
    <row r="7" spans="1:15" ht="15.75" customHeight="1">
      <c r="A7" s="57" t="s">
        <v>37</v>
      </c>
      <c r="B7" s="19" t="s">
        <v>45</v>
      </c>
      <c r="C7" s="22">
        <v>17</v>
      </c>
      <c r="D7" s="22">
        <v>0</v>
      </c>
      <c r="E7" s="22">
        <v>0</v>
      </c>
      <c r="F7" s="22">
        <v>0</v>
      </c>
      <c r="G7" s="22">
        <v>1</v>
      </c>
      <c r="H7" s="22">
        <v>2</v>
      </c>
      <c r="I7" s="22">
        <v>3</v>
      </c>
      <c r="J7" s="25">
        <v>4</v>
      </c>
      <c r="K7" s="22">
        <v>3</v>
      </c>
      <c r="L7" s="27">
        <v>3</v>
      </c>
      <c r="M7" s="22">
        <v>1</v>
      </c>
      <c r="N7" s="31">
        <f t="shared" si="0"/>
        <v>0</v>
      </c>
      <c r="O7" s="32"/>
    </row>
    <row r="8" spans="1:15" ht="15.75" customHeight="1">
      <c r="A8" s="57"/>
      <c r="B8" s="19" t="s">
        <v>46</v>
      </c>
      <c r="C8" s="22">
        <v>8</v>
      </c>
      <c r="D8" s="22">
        <v>0</v>
      </c>
      <c r="E8" s="22">
        <v>0</v>
      </c>
      <c r="F8" s="22">
        <v>0</v>
      </c>
      <c r="G8" s="22">
        <v>1</v>
      </c>
      <c r="H8" s="22">
        <v>1</v>
      </c>
      <c r="I8" s="22">
        <v>1</v>
      </c>
      <c r="J8" s="25">
        <v>3</v>
      </c>
      <c r="K8" s="22">
        <v>0</v>
      </c>
      <c r="L8" s="27">
        <v>1</v>
      </c>
      <c r="M8" s="22">
        <v>1</v>
      </c>
      <c r="N8" s="31">
        <f t="shared" si="0"/>
        <v>0</v>
      </c>
      <c r="O8" s="32"/>
    </row>
    <row r="9" spans="1:15" ht="15.75" customHeight="1">
      <c r="A9" s="57"/>
      <c r="B9" s="19" t="s">
        <v>47</v>
      </c>
      <c r="C9" s="22">
        <v>9</v>
      </c>
      <c r="D9" s="22">
        <v>0</v>
      </c>
      <c r="E9" s="22">
        <v>0</v>
      </c>
      <c r="F9" s="22">
        <v>0</v>
      </c>
      <c r="G9" s="22">
        <v>0</v>
      </c>
      <c r="H9" s="22">
        <v>1</v>
      </c>
      <c r="I9" s="22">
        <v>2</v>
      </c>
      <c r="J9" s="25">
        <v>1</v>
      </c>
      <c r="K9" s="22">
        <v>3</v>
      </c>
      <c r="L9" s="27">
        <v>2</v>
      </c>
      <c r="M9" s="22">
        <v>0</v>
      </c>
      <c r="N9" s="31">
        <f t="shared" si="0"/>
        <v>0</v>
      </c>
      <c r="O9" s="32"/>
    </row>
    <row r="10" spans="1:15" ht="15.75" customHeight="1">
      <c r="A10" s="57" t="s">
        <v>38</v>
      </c>
      <c r="B10" s="19" t="s">
        <v>45</v>
      </c>
      <c r="C10" s="22">
        <v>496</v>
      </c>
      <c r="D10" s="22">
        <v>0</v>
      </c>
      <c r="E10" s="22">
        <v>9</v>
      </c>
      <c r="F10" s="22">
        <v>118</v>
      </c>
      <c r="G10" s="22">
        <v>123</v>
      </c>
      <c r="H10" s="22">
        <v>86</v>
      </c>
      <c r="I10" s="22">
        <v>64</v>
      </c>
      <c r="J10" s="25">
        <v>38</v>
      </c>
      <c r="K10" s="22">
        <v>38</v>
      </c>
      <c r="L10" s="27">
        <v>11</v>
      </c>
      <c r="M10" s="22">
        <v>7</v>
      </c>
      <c r="N10" s="31">
        <f t="shared" si="0"/>
        <v>2</v>
      </c>
      <c r="O10" s="32"/>
    </row>
    <row r="11" spans="1:15" ht="15.75" customHeight="1">
      <c r="A11" s="57"/>
      <c r="B11" s="19" t="s">
        <v>46</v>
      </c>
      <c r="C11" s="22">
        <v>316</v>
      </c>
      <c r="D11" s="22">
        <v>0</v>
      </c>
      <c r="E11" s="22">
        <v>6</v>
      </c>
      <c r="F11" s="22">
        <v>83</v>
      </c>
      <c r="G11" s="22">
        <v>64</v>
      </c>
      <c r="H11" s="22">
        <v>57</v>
      </c>
      <c r="I11" s="22">
        <v>39</v>
      </c>
      <c r="J11" s="25">
        <v>25</v>
      </c>
      <c r="K11" s="22">
        <v>27</v>
      </c>
      <c r="L11" s="27">
        <v>9</v>
      </c>
      <c r="M11" s="22">
        <v>4</v>
      </c>
      <c r="N11" s="31">
        <f t="shared" si="0"/>
        <v>2</v>
      </c>
      <c r="O11" s="32"/>
    </row>
    <row r="12" spans="1:15" ht="15.75" customHeight="1">
      <c r="A12" s="57"/>
      <c r="B12" s="19" t="s">
        <v>47</v>
      </c>
      <c r="C12" s="22">
        <v>180</v>
      </c>
      <c r="D12" s="22">
        <v>0</v>
      </c>
      <c r="E12" s="22">
        <v>3</v>
      </c>
      <c r="F12" s="22">
        <v>35</v>
      </c>
      <c r="G12" s="22">
        <v>59</v>
      </c>
      <c r="H12" s="22">
        <v>29</v>
      </c>
      <c r="I12" s="22">
        <v>25</v>
      </c>
      <c r="J12" s="25">
        <v>13</v>
      </c>
      <c r="K12" s="22">
        <v>11</v>
      </c>
      <c r="L12" s="27">
        <v>2</v>
      </c>
      <c r="M12" s="22">
        <v>3</v>
      </c>
      <c r="N12" s="31">
        <f t="shared" si="0"/>
        <v>0</v>
      </c>
      <c r="O12" s="32"/>
    </row>
    <row r="13" spans="1:15" ht="15.75" customHeight="1">
      <c r="A13" s="57" t="s">
        <v>39</v>
      </c>
      <c r="B13" s="19" t="s">
        <v>45</v>
      </c>
      <c r="C13" s="22">
        <v>3154</v>
      </c>
      <c r="D13" s="22">
        <v>0</v>
      </c>
      <c r="E13" s="22">
        <v>553</v>
      </c>
      <c r="F13" s="22">
        <v>890</v>
      </c>
      <c r="G13" s="22">
        <v>640</v>
      </c>
      <c r="H13" s="22">
        <v>387</v>
      </c>
      <c r="I13" s="22">
        <v>236</v>
      </c>
      <c r="J13" s="25">
        <v>178</v>
      </c>
      <c r="K13" s="22">
        <v>113</v>
      </c>
      <c r="L13" s="27">
        <v>71</v>
      </c>
      <c r="M13" s="22">
        <v>46</v>
      </c>
      <c r="N13" s="31">
        <f t="shared" si="0"/>
        <v>40</v>
      </c>
      <c r="O13" s="32"/>
    </row>
    <row r="14" spans="1:15" ht="15.75" customHeight="1">
      <c r="A14" s="57"/>
      <c r="B14" s="19" t="s">
        <v>46</v>
      </c>
      <c r="C14" s="22">
        <v>1597</v>
      </c>
      <c r="D14" s="22">
        <v>0</v>
      </c>
      <c r="E14" s="22">
        <v>275</v>
      </c>
      <c r="F14" s="22">
        <v>415</v>
      </c>
      <c r="G14" s="22">
        <v>308</v>
      </c>
      <c r="H14" s="22">
        <v>184</v>
      </c>
      <c r="I14" s="22">
        <v>121</v>
      </c>
      <c r="J14" s="25">
        <v>101</v>
      </c>
      <c r="K14" s="22">
        <v>72</v>
      </c>
      <c r="L14" s="27">
        <v>47</v>
      </c>
      <c r="M14" s="22">
        <v>39</v>
      </c>
      <c r="N14" s="31">
        <f t="shared" si="0"/>
        <v>35</v>
      </c>
      <c r="O14" s="32"/>
    </row>
    <row r="15" spans="1:15" ht="15.75" customHeight="1">
      <c r="A15" s="57"/>
      <c r="B15" s="19" t="s">
        <v>47</v>
      </c>
      <c r="C15" s="22">
        <v>1557</v>
      </c>
      <c r="D15" s="22">
        <v>0</v>
      </c>
      <c r="E15" s="22">
        <v>278</v>
      </c>
      <c r="F15" s="22">
        <v>475</v>
      </c>
      <c r="G15" s="22">
        <v>332</v>
      </c>
      <c r="H15" s="22">
        <v>203</v>
      </c>
      <c r="I15" s="22">
        <v>115</v>
      </c>
      <c r="J15" s="25">
        <v>77</v>
      </c>
      <c r="K15" s="22">
        <v>41</v>
      </c>
      <c r="L15" s="27">
        <v>24</v>
      </c>
      <c r="M15" s="22">
        <v>7</v>
      </c>
      <c r="N15" s="31">
        <f t="shared" si="0"/>
        <v>5</v>
      </c>
      <c r="O15" s="32"/>
    </row>
    <row r="16" spans="1:15" ht="15.75" customHeight="1">
      <c r="A16" s="57" t="s">
        <v>40</v>
      </c>
      <c r="B16" s="19" t="s">
        <v>45</v>
      </c>
      <c r="C16" s="22">
        <v>1510</v>
      </c>
      <c r="D16" s="22">
        <v>0</v>
      </c>
      <c r="E16" s="22">
        <v>88</v>
      </c>
      <c r="F16" s="22">
        <v>61</v>
      </c>
      <c r="G16" s="22">
        <v>137</v>
      </c>
      <c r="H16" s="22">
        <v>286</v>
      </c>
      <c r="I16" s="22">
        <v>280</v>
      </c>
      <c r="J16" s="25">
        <v>201</v>
      </c>
      <c r="K16" s="22">
        <v>166</v>
      </c>
      <c r="L16" s="27">
        <v>117</v>
      </c>
      <c r="M16" s="22">
        <v>84</v>
      </c>
      <c r="N16" s="31">
        <f t="shared" si="0"/>
        <v>90</v>
      </c>
      <c r="O16" s="32"/>
    </row>
    <row r="17" spans="1:15" ht="15.75" customHeight="1">
      <c r="A17" s="57"/>
      <c r="B17" s="19" t="s">
        <v>46</v>
      </c>
      <c r="C17" s="22">
        <v>930</v>
      </c>
      <c r="D17" s="22">
        <v>0</v>
      </c>
      <c r="E17" s="22">
        <v>51</v>
      </c>
      <c r="F17" s="22">
        <v>39</v>
      </c>
      <c r="G17" s="22">
        <v>76</v>
      </c>
      <c r="H17" s="22">
        <v>136</v>
      </c>
      <c r="I17" s="22">
        <v>150</v>
      </c>
      <c r="J17" s="25">
        <v>120</v>
      </c>
      <c r="K17" s="22">
        <v>123</v>
      </c>
      <c r="L17" s="27">
        <v>90</v>
      </c>
      <c r="M17" s="22">
        <v>70</v>
      </c>
      <c r="N17" s="31">
        <f t="shared" si="0"/>
        <v>75</v>
      </c>
      <c r="O17" s="32"/>
    </row>
    <row r="18" spans="1:15" ht="15.75" customHeight="1">
      <c r="A18" s="57"/>
      <c r="B18" s="19" t="s">
        <v>47</v>
      </c>
      <c r="C18" s="22">
        <v>580</v>
      </c>
      <c r="D18" s="22">
        <v>0</v>
      </c>
      <c r="E18" s="22">
        <v>37</v>
      </c>
      <c r="F18" s="22">
        <v>22</v>
      </c>
      <c r="G18" s="22">
        <v>61</v>
      </c>
      <c r="H18" s="22">
        <v>150</v>
      </c>
      <c r="I18" s="22">
        <v>130</v>
      </c>
      <c r="J18" s="25">
        <v>81</v>
      </c>
      <c r="K18" s="22">
        <v>43</v>
      </c>
      <c r="L18" s="27">
        <v>27</v>
      </c>
      <c r="M18" s="22">
        <v>14</v>
      </c>
      <c r="N18" s="31">
        <f t="shared" si="0"/>
        <v>15</v>
      </c>
      <c r="O18" s="32"/>
    </row>
    <row r="19" spans="1:15" ht="15.75" customHeight="1">
      <c r="A19" s="57" t="s">
        <v>41</v>
      </c>
      <c r="B19" s="19" t="s">
        <v>45</v>
      </c>
      <c r="C19" s="22">
        <v>6147</v>
      </c>
      <c r="D19" s="22">
        <v>458</v>
      </c>
      <c r="E19" s="22">
        <v>817</v>
      </c>
      <c r="F19" s="22">
        <v>377</v>
      </c>
      <c r="G19" s="22">
        <v>519</v>
      </c>
      <c r="H19" s="22">
        <v>639</v>
      </c>
      <c r="I19" s="22">
        <v>679</v>
      </c>
      <c r="J19" s="25">
        <v>800</v>
      </c>
      <c r="K19" s="22">
        <v>765</v>
      </c>
      <c r="L19" s="27">
        <v>587</v>
      </c>
      <c r="M19" s="22">
        <v>262</v>
      </c>
      <c r="N19" s="31">
        <f t="shared" si="0"/>
        <v>244</v>
      </c>
      <c r="O19" s="32"/>
    </row>
    <row r="20" spans="1:15" ht="15.75" customHeight="1">
      <c r="A20" s="57"/>
      <c r="B20" s="19" t="s">
        <v>46</v>
      </c>
      <c r="C20" s="22">
        <v>3546</v>
      </c>
      <c r="D20" s="22">
        <v>263</v>
      </c>
      <c r="E20" s="22">
        <v>448</v>
      </c>
      <c r="F20" s="22">
        <v>234</v>
      </c>
      <c r="G20" s="22">
        <v>299</v>
      </c>
      <c r="H20" s="22">
        <v>332</v>
      </c>
      <c r="I20" s="22">
        <v>345</v>
      </c>
      <c r="J20" s="25">
        <v>410</v>
      </c>
      <c r="K20" s="22">
        <v>452</v>
      </c>
      <c r="L20" s="27">
        <v>380</v>
      </c>
      <c r="M20" s="22">
        <v>178</v>
      </c>
      <c r="N20" s="31">
        <f t="shared" si="0"/>
        <v>205</v>
      </c>
      <c r="O20" s="32"/>
    </row>
    <row r="21" spans="1:15" ht="15.75" customHeight="1">
      <c r="A21" s="57"/>
      <c r="B21" s="19" t="s">
        <v>47</v>
      </c>
      <c r="C21" s="22">
        <v>2601</v>
      </c>
      <c r="D21" s="22">
        <v>195</v>
      </c>
      <c r="E21" s="22">
        <v>369</v>
      </c>
      <c r="F21" s="22">
        <v>143</v>
      </c>
      <c r="G21" s="22">
        <v>220</v>
      </c>
      <c r="H21" s="22">
        <v>307</v>
      </c>
      <c r="I21" s="22">
        <v>334</v>
      </c>
      <c r="J21" s="25">
        <v>390</v>
      </c>
      <c r="K21" s="22">
        <v>313</v>
      </c>
      <c r="L21" s="27">
        <v>207</v>
      </c>
      <c r="M21" s="22">
        <v>84</v>
      </c>
      <c r="N21" s="31">
        <f t="shared" si="0"/>
        <v>39</v>
      </c>
      <c r="O21" s="32"/>
    </row>
    <row r="22" spans="1:15" ht="15.75" customHeight="1">
      <c r="A22" s="57" t="s">
        <v>43</v>
      </c>
      <c r="B22" s="19" t="s">
        <v>45</v>
      </c>
      <c r="C22" s="22">
        <v>3550</v>
      </c>
      <c r="D22" s="22">
        <v>773</v>
      </c>
      <c r="E22" s="22">
        <v>51</v>
      </c>
      <c r="F22" s="22">
        <v>83</v>
      </c>
      <c r="G22" s="22">
        <v>188</v>
      </c>
      <c r="H22" s="22">
        <v>169</v>
      </c>
      <c r="I22" s="22">
        <v>248</v>
      </c>
      <c r="J22" s="25">
        <v>408</v>
      </c>
      <c r="K22" s="22">
        <v>655</v>
      </c>
      <c r="L22" s="27">
        <v>522</v>
      </c>
      <c r="M22" s="22">
        <v>218</v>
      </c>
      <c r="N22" s="31">
        <f t="shared" si="0"/>
        <v>235</v>
      </c>
      <c r="O22" s="32"/>
    </row>
    <row r="23" spans="1:15" ht="15.75" customHeight="1">
      <c r="A23" s="57"/>
      <c r="B23" s="19" t="s">
        <v>46</v>
      </c>
      <c r="C23" s="22">
        <v>1858</v>
      </c>
      <c r="D23" s="22">
        <v>371</v>
      </c>
      <c r="E23" s="22">
        <v>31</v>
      </c>
      <c r="F23" s="22">
        <v>47</v>
      </c>
      <c r="G23" s="22">
        <v>106</v>
      </c>
      <c r="H23" s="22">
        <v>71</v>
      </c>
      <c r="I23" s="22">
        <v>131</v>
      </c>
      <c r="J23" s="25">
        <v>192</v>
      </c>
      <c r="K23" s="22">
        <v>358</v>
      </c>
      <c r="L23" s="27">
        <v>274</v>
      </c>
      <c r="M23" s="22">
        <v>124</v>
      </c>
      <c r="N23" s="31">
        <f t="shared" si="0"/>
        <v>153</v>
      </c>
      <c r="O23" s="32"/>
    </row>
    <row r="24" spans="1:15" ht="15.75" customHeight="1">
      <c r="A24" s="57"/>
      <c r="B24" s="19" t="s">
        <v>47</v>
      </c>
      <c r="C24" s="22">
        <v>1692</v>
      </c>
      <c r="D24" s="22">
        <v>402</v>
      </c>
      <c r="E24" s="22">
        <v>20</v>
      </c>
      <c r="F24" s="22">
        <v>36</v>
      </c>
      <c r="G24" s="22">
        <v>82</v>
      </c>
      <c r="H24" s="22">
        <v>98</v>
      </c>
      <c r="I24" s="22">
        <v>117</v>
      </c>
      <c r="J24" s="25">
        <v>216</v>
      </c>
      <c r="K24" s="22">
        <v>297</v>
      </c>
      <c r="L24" s="27">
        <v>248</v>
      </c>
      <c r="M24" s="22">
        <v>94</v>
      </c>
      <c r="N24" s="31">
        <f t="shared" si="0"/>
        <v>82</v>
      </c>
      <c r="O24" s="32"/>
    </row>
    <row r="25" spans="1:15" ht="15.75" customHeight="1">
      <c r="A25" s="57" t="s">
        <v>42</v>
      </c>
      <c r="B25" s="19" t="s">
        <v>45</v>
      </c>
      <c r="C25" s="22">
        <v>4631</v>
      </c>
      <c r="D25" s="22">
        <v>68</v>
      </c>
      <c r="E25" s="22">
        <v>0</v>
      </c>
      <c r="F25" s="22">
        <v>9</v>
      </c>
      <c r="G25" s="22">
        <v>23</v>
      </c>
      <c r="H25" s="22">
        <v>41</v>
      </c>
      <c r="I25" s="22">
        <v>42</v>
      </c>
      <c r="J25" s="25">
        <v>64</v>
      </c>
      <c r="K25" s="22">
        <v>196</v>
      </c>
      <c r="L25" s="27">
        <v>465</v>
      </c>
      <c r="M25" s="22">
        <v>823</v>
      </c>
      <c r="N25" s="31">
        <f t="shared" si="0"/>
        <v>2900</v>
      </c>
      <c r="O25" s="32"/>
    </row>
    <row r="26" spans="1:15" ht="15.75" customHeight="1">
      <c r="A26" s="57"/>
      <c r="B26" s="19" t="s">
        <v>46</v>
      </c>
      <c r="C26" s="22">
        <v>1717</v>
      </c>
      <c r="D26" s="22">
        <v>37</v>
      </c>
      <c r="E26" s="22">
        <v>0</v>
      </c>
      <c r="F26" s="22">
        <v>0</v>
      </c>
      <c r="G26" s="22">
        <v>1</v>
      </c>
      <c r="H26" s="22">
        <v>1</v>
      </c>
      <c r="I26" s="22">
        <v>16</v>
      </c>
      <c r="J26" s="25">
        <v>23</v>
      </c>
      <c r="K26" s="22">
        <v>55</v>
      </c>
      <c r="L26" s="27">
        <v>137</v>
      </c>
      <c r="M26" s="22">
        <v>300</v>
      </c>
      <c r="N26" s="31">
        <f t="shared" si="0"/>
        <v>1147</v>
      </c>
      <c r="O26" s="32"/>
    </row>
    <row r="27" spans="1:15" ht="15.75" customHeight="1">
      <c r="A27" s="57"/>
      <c r="B27" s="19" t="s">
        <v>47</v>
      </c>
      <c r="C27" s="22">
        <v>2914</v>
      </c>
      <c r="D27" s="22">
        <v>31</v>
      </c>
      <c r="E27" s="22">
        <v>0</v>
      </c>
      <c r="F27" s="22">
        <v>9</v>
      </c>
      <c r="G27" s="22">
        <v>22</v>
      </c>
      <c r="H27" s="22">
        <v>40</v>
      </c>
      <c r="I27" s="22">
        <v>26</v>
      </c>
      <c r="J27" s="25">
        <v>41</v>
      </c>
      <c r="K27" s="22">
        <v>141</v>
      </c>
      <c r="L27" s="27">
        <v>328</v>
      </c>
      <c r="M27" s="22">
        <v>523</v>
      </c>
      <c r="N27" s="31">
        <f t="shared" si="0"/>
        <v>1753</v>
      </c>
      <c r="O27" s="32"/>
    </row>
    <row r="28" spans="1:15" ht="15.75" customHeight="1">
      <c r="A28" s="57" t="s">
        <v>4</v>
      </c>
      <c r="B28" s="19" t="s">
        <v>45</v>
      </c>
      <c r="C28" s="22">
        <v>38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5">
        <v>0</v>
      </c>
      <c r="K28" s="22">
        <v>0</v>
      </c>
      <c r="L28" s="27">
        <v>4</v>
      </c>
      <c r="M28" s="22">
        <v>4</v>
      </c>
      <c r="N28" s="31">
        <f t="shared" si="0"/>
        <v>30</v>
      </c>
      <c r="O28" s="32"/>
    </row>
    <row r="29" spans="1:15" ht="15.75" customHeight="1">
      <c r="A29" s="57"/>
      <c r="B29" s="19" t="s">
        <v>46</v>
      </c>
      <c r="C29" s="22">
        <v>19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5">
        <v>0</v>
      </c>
      <c r="K29" s="22">
        <v>0</v>
      </c>
      <c r="L29" s="27">
        <v>0</v>
      </c>
      <c r="M29" s="22">
        <v>0</v>
      </c>
      <c r="N29" s="31">
        <f t="shared" si="0"/>
        <v>19</v>
      </c>
      <c r="O29" s="32"/>
    </row>
    <row r="30" spans="1:15" ht="15.75" customHeight="1">
      <c r="A30" s="57"/>
      <c r="B30" s="19" t="s">
        <v>47</v>
      </c>
      <c r="C30" s="22">
        <v>19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5">
        <v>0</v>
      </c>
      <c r="K30" s="22">
        <v>0</v>
      </c>
      <c r="L30" s="27">
        <v>4</v>
      </c>
      <c r="M30" s="22">
        <v>4</v>
      </c>
      <c r="N30" s="31">
        <f t="shared" si="0"/>
        <v>11</v>
      </c>
      <c r="O30" s="32"/>
    </row>
    <row r="31" spans="1:15" ht="15.75" customHeight="1">
      <c r="A31" s="57" t="s">
        <v>5</v>
      </c>
      <c r="B31" s="19" t="s">
        <v>45</v>
      </c>
      <c r="C31" s="22">
        <v>631</v>
      </c>
      <c r="D31" s="22">
        <v>0</v>
      </c>
      <c r="E31" s="22">
        <v>0</v>
      </c>
      <c r="F31" s="22">
        <v>0</v>
      </c>
      <c r="G31" s="22">
        <v>0</v>
      </c>
      <c r="H31" s="22">
        <v>1</v>
      </c>
      <c r="I31" s="22">
        <v>3</v>
      </c>
      <c r="J31" s="25">
        <v>3</v>
      </c>
      <c r="K31" s="22">
        <v>7</v>
      </c>
      <c r="L31" s="27">
        <v>21</v>
      </c>
      <c r="M31" s="22">
        <v>43</v>
      </c>
      <c r="N31" s="31">
        <f t="shared" si="0"/>
        <v>553</v>
      </c>
      <c r="O31" s="32"/>
    </row>
    <row r="32" spans="1:15" ht="15.75" customHeight="1">
      <c r="A32" s="57"/>
      <c r="B32" s="19" t="s">
        <v>46</v>
      </c>
      <c r="C32" s="22">
        <v>42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5">
        <v>0</v>
      </c>
      <c r="K32" s="22">
        <v>1</v>
      </c>
      <c r="L32" s="27">
        <v>3</v>
      </c>
      <c r="M32" s="22">
        <v>7</v>
      </c>
      <c r="N32" s="31">
        <f t="shared" si="0"/>
        <v>31</v>
      </c>
      <c r="O32" s="32"/>
    </row>
    <row r="33" spans="1:15" ht="15.75" customHeight="1">
      <c r="A33" s="59"/>
      <c r="B33" s="20" t="s">
        <v>47</v>
      </c>
      <c r="C33" s="23">
        <v>589</v>
      </c>
      <c r="D33" s="23">
        <v>0</v>
      </c>
      <c r="E33" s="23">
        <v>0</v>
      </c>
      <c r="F33" s="23">
        <v>0</v>
      </c>
      <c r="G33" s="23">
        <v>0</v>
      </c>
      <c r="H33" s="23">
        <v>1</v>
      </c>
      <c r="I33" s="23">
        <v>3</v>
      </c>
      <c r="J33" s="26">
        <v>3</v>
      </c>
      <c r="K33" s="23">
        <v>6</v>
      </c>
      <c r="L33" s="28">
        <v>18</v>
      </c>
      <c r="M33" s="23">
        <v>36</v>
      </c>
      <c r="N33" s="34">
        <f t="shared" si="0"/>
        <v>522</v>
      </c>
      <c r="O33" s="32"/>
    </row>
    <row r="34" spans="1:15" s="2" customFormat="1" ht="19.5" customHeight="1">
      <c r="A34" s="3" t="s">
        <v>32</v>
      </c>
      <c r="B34" s="3"/>
      <c r="C34" s="3"/>
      <c r="D34" s="4"/>
      <c r="E34" s="5"/>
      <c r="F34" s="5"/>
      <c r="G34" s="5"/>
      <c r="H34" s="5"/>
      <c r="I34" s="5"/>
      <c r="J34" s="5" t="s">
        <v>36</v>
      </c>
      <c r="K34" s="5"/>
      <c r="L34" s="5"/>
      <c r="M34" s="6"/>
      <c r="O34" s="7"/>
    </row>
  </sheetData>
  <sheetProtection/>
  <mergeCells count="13">
    <mergeCell ref="A7:A9"/>
    <mergeCell ref="A10:A12"/>
    <mergeCell ref="A1:N1"/>
    <mergeCell ref="F2:J2"/>
    <mergeCell ref="K2:L2"/>
    <mergeCell ref="A4:A6"/>
    <mergeCell ref="A31:A33"/>
    <mergeCell ref="A13:A15"/>
    <mergeCell ref="A16:A18"/>
    <mergeCell ref="A19:A21"/>
    <mergeCell ref="A22:A24"/>
    <mergeCell ref="A25:A27"/>
    <mergeCell ref="A28:A3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6">
      <selection activeCell="G36" sqref="G36"/>
    </sheetView>
  </sheetViews>
  <sheetFormatPr defaultColWidth="9.00390625" defaultRowHeight="15.75" customHeight="1"/>
  <cols>
    <col min="1" max="1" width="10.125" style="13" customWidth="1"/>
    <col min="2" max="2" width="5.875" style="11" customWidth="1"/>
    <col min="3" max="3" width="10.125" style="11" customWidth="1"/>
    <col min="4" max="13" width="8.75390625" style="13" customWidth="1"/>
    <col min="14" max="14" width="9.875" style="16" customWidth="1"/>
    <col min="15" max="16384" width="9.00390625" style="13" customWidth="1"/>
  </cols>
  <sheetData>
    <row r="1" spans="1:14" s="14" customFormat="1" ht="21" customHeight="1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s="14" customFormat="1" ht="21" customHeight="1">
      <c r="B2" s="9"/>
      <c r="C2" s="9"/>
      <c r="D2" s="9"/>
      <c r="E2" s="9"/>
      <c r="F2" s="54" t="s">
        <v>50</v>
      </c>
      <c r="G2" s="54"/>
      <c r="H2" s="54"/>
      <c r="I2" s="54"/>
      <c r="J2" s="54"/>
      <c r="K2" s="55" t="s">
        <v>15</v>
      </c>
      <c r="L2" s="55"/>
      <c r="N2" s="15"/>
    </row>
    <row r="3" spans="1:15" ht="18.75" customHeight="1">
      <c r="A3" s="33" t="s">
        <v>48</v>
      </c>
      <c r="B3" s="12" t="s">
        <v>49</v>
      </c>
      <c r="C3" s="12" t="s">
        <v>20</v>
      </c>
      <c r="D3" s="10" t="s">
        <v>19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27</v>
      </c>
      <c r="L3" s="10" t="s">
        <v>28</v>
      </c>
      <c r="M3" s="10" t="s">
        <v>29</v>
      </c>
      <c r="N3" s="30" t="s">
        <v>30</v>
      </c>
      <c r="O3" s="32"/>
    </row>
    <row r="4" spans="1:15" ht="15.75" customHeight="1">
      <c r="A4" s="56" t="s">
        <v>44</v>
      </c>
      <c r="B4" s="18" t="s">
        <v>45</v>
      </c>
      <c r="C4" s="21">
        <v>19438</v>
      </c>
      <c r="D4" s="21">
        <v>1319</v>
      </c>
      <c r="E4" s="21">
        <v>1563</v>
      </c>
      <c r="F4" s="21">
        <v>1524</v>
      </c>
      <c r="G4" s="21">
        <v>1624</v>
      </c>
      <c r="H4" s="21">
        <v>1642</v>
      </c>
      <c r="I4" s="21">
        <v>1544</v>
      </c>
      <c r="J4" s="24">
        <v>1721</v>
      </c>
      <c r="K4" s="21">
        <v>1996</v>
      </c>
      <c r="L4" s="29">
        <v>1683</v>
      </c>
      <c r="M4" s="21">
        <v>1400</v>
      </c>
      <c r="N4" s="31">
        <f>C4-SUM(D4:M4)</f>
        <v>3422</v>
      </c>
      <c r="O4" s="32"/>
    </row>
    <row r="5" spans="1:15" ht="15.75" customHeight="1">
      <c r="A5" s="56"/>
      <c r="B5" s="19" t="s">
        <v>46</v>
      </c>
      <c r="C5" s="22">
        <v>9950</v>
      </c>
      <c r="D5" s="22">
        <v>684</v>
      </c>
      <c r="E5" s="22">
        <v>833</v>
      </c>
      <c r="F5" s="22">
        <v>788</v>
      </c>
      <c r="G5" s="22">
        <v>845</v>
      </c>
      <c r="H5" s="22">
        <v>820</v>
      </c>
      <c r="I5" s="22">
        <v>810</v>
      </c>
      <c r="J5" s="25">
        <v>900</v>
      </c>
      <c r="K5" s="22">
        <v>1096</v>
      </c>
      <c r="L5" s="27">
        <v>884</v>
      </c>
      <c r="M5" s="22">
        <v>704</v>
      </c>
      <c r="N5" s="31">
        <f aca="true" t="shared" si="0" ref="N5:N33">C5-SUM(D5:M5)</f>
        <v>1586</v>
      </c>
      <c r="O5" s="32"/>
    </row>
    <row r="6" spans="1:15" ht="15.75" customHeight="1">
      <c r="A6" s="56"/>
      <c r="B6" s="19" t="s">
        <v>47</v>
      </c>
      <c r="C6" s="22">
        <v>9488</v>
      </c>
      <c r="D6" s="22">
        <v>635</v>
      </c>
      <c r="E6" s="22">
        <v>730</v>
      </c>
      <c r="F6" s="22">
        <v>736</v>
      </c>
      <c r="G6" s="22">
        <v>779</v>
      </c>
      <c r="H6" s="22">
        <v>822</v>
      </c>
      <c r="I6" s="22">
        <v>734</v>
      </c>
      <c r="J6" s="25">
        <v>821</v>
      </c>
      <c r="K6" s="22">
        <v>900</v>
      </c>
      <c r="L6" s="27">
        <v>799</v>
      </c>
      <c r="M6" s="22">
        <v>696</v>
      </c>
      <c r="N6" s="31">
        <f t="shared" si="0"/>
        <v>1836</v>
      </c>
      <c r="O6" s="32"/>
    </row>
    <row r="7" spans="1:15" ht="15.75" customHeight="1">
      <c r="A7" s="57" t="s">
        <v>37</v>
      </c>
      <c r="B7" s="19" t="s">
        <v>45</v>
      </c>
      <c r="C7" s="22">
        <v>14</v>
      </c>
      <c r="D7" s="22">
        <v>0</v>
      </c>
      <c r="E7" s="22">
        <v>0</v>
      </c>
      <c r="F7" s="22">
        <v>0</v>
      </c>
      <c r="G7" s="22">
        <v>2</v>
      </c>
      <c r="H7" s="22">
        <v>0</v>
      </c>
      <c r="I7" s="22">
        <v>3</v>
      </c>
      <c r="J7" s="25">
        <v>3</v>
      </c>
      <c r="K7" s="22">
        <v>3</v>
      </c>
      <c r="L7" s="27">
        <v>3</v>
      </c>
      <c r="M7" s="22">
        <v>0</v>
      </c>
      <c r="N7" s="31">
        <f t="shared" si="0"/>
        <v>0</v>
      </c>
      <c r="O7" s="32"/>
    </row>
    <row r="8" spans="1:15" ht="15.75" customHeight="1">
      <c r="A8" s="57"/>
      <c r="B8" s="19" t="s">
        <v>46</v>
      </c>
      <c r="C8" s="22">
        <v>7</v>
      </c>
      <c r="D8" s="22">
        <v>0</v>
      </c>
      <c r="E8" s="22">
        <v>0</v>
      </c>
      <c r="F8" s="22">
        <v>0</v>
      </c>
      <c r="G8" s="22">
        <v>2</v>
      </c>
      <c r="H8" s="22">
        <v>0</v>
      </c>
      <c r="I8" s="22">
        <v>1</v>
      </c>
      <c r="J8" s="25">
        <v>3</v>
      </c>
      <c r="K8" s="22">
        <v>0</v>
      </c>
      <c r="L8" s="27">
        <v>1</v>
      </c>
      <c r="M8" s="22">
        <v>0</v>
      </c>
      <c r="N8" s="31">
        <f t="shared" si="0"/>
        <v>0</v>
      </c>
      <c r="O8" s="32"/>
    </row>
    <row r="9" spans="1:15" ht="15.75" customHeight="1">
      <c r="A9" s="57"/>
      <c r="B9" s="19" t="s">
        <v>47</v>
      </c>
      <c r="C9" s="22">
        <v>7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2</v>
      </c>
      <c r="J9" s="25">
        <v>0</v>
      </c>
      <c r="K9" s="22">
        <v>3</v>
      </c>
      <c r="L9" s="27">
        <v>2</v>
      </c>
      <c r="M9" s="22">
        <v>0</v>
      </c>
      <c r="N9" s="31">
        <f t="shared" si="0"/>
        <v>0</v>
      </c>
      <c r="O9" s="32"/>
    </row>
    <row r="10" spans="1:15" ht="15.75" customHeight="1">
      <c r="A10" s="57" t="s">
        <v>38</v>
      </c>
      <c r="B10" s="19" t="s">
        <v>45</v>
      </c>
      <c r="C10" s="22">
        <v>453</v>
      </c>
      <c r="D10" s="22">
        <v>0</v>
      </c>
      <c r="E10" s="22">
        <v>11</v>
      </c>
      <c r="F10" s="22">
        <v>100</v>
      </c>
      <c r="G10" s="22">
        <v>121</v>
      </c>
      <c r="H10" s="22">
        <v>80</v>
      </c>
      <c r="I10" s="22">
        <v>49</v>
      </c>
      <c r="J10" s="25">
        <v>38</v>
      </c>
      <c r="K10" s="22">
        <v>35</v>
      </c>
      <c r="L10" s="27">
        <v>10</v>
      </c>
      <c r="M10" s="22">
        <v>7</v>
      </c>
      <c r="N10" s="31">
        <f t="shared" si="0"/>
        <v>2</v>
      </c>
      <c r="O10" s="32"/>
    </row>
    <row r="11" spans="1:15" ht="15.75" customHeight="1">
      <c r="A11" s="57"/>
      <c r="B11" s="19" t="s">
        <v>46</v>
      </c>
      <c r="C11" s="22">
        <v>288</v>
      </c>
      <c r="D11" s="22">
        <v>0</v>
      </c>
      <c r="E11" s="22">
        <v>9</v>
      </c>
      <c r="F11" s="22">
        <v>65</v>
      </c>
      <c r="G11" s="22">
        <v>68</v>
      </c>
      <c r="H11" s="22">
        <v>50</v>
      </c>
      <c r="I11" s="22">
        <v>31</v>
      </c>
      <c r="J11" s="25">
        <v>25</v>
      </c>
      <c r="K11" s="22">
        <v>26</v>
      </c>
      <c r="L11" s="27">
        <v>9</v>
      </c>
      <c r="M11" s="22">
        <v>3</v>
      </c>
      <c r="N11" s="31">
        <f t="shared" si="0"/>
        <v>2</v>
      </c>
      <c r="O11" s="32"/>
    </row>
    <row r="12" spans="1:15" ht="15.75" customHeight="1">
      <c r="A12" s="57"/>
      <c r="B12" s="19" t="s">
        <v>47</v>
      </c>
      <c r="C12" s="22">
        <v>165</v>
      </c>
      <c r="D12" s="22">
        <v>0</v>
      </c>
      <c r="E12" s="22">
        <v>2</v>
      </c>
      <c r="F12" s="22">
        <v>35</v>
      </c>
      <c r="G12" s="22">
        <v>53</v>
      </c>
      <c r="H12" s="22">
        <v>30</v>
      </c>
      <c r="I12" s="22">
        <v>18</v>
      </c>
      <c r="J12" s="25">
        <v>13</v>
      </c>
      <c r="K12" s="22">
        <v>9</v>
      </c>
      <c r="L12" s="27">
        <v>1</v>
      </c>
      <c r="M12" s="22">
        <v>4</v>
      </c>
      <c r="N12" s="31">
        <f t="shared" si="0"/>
        <v>0</v>
      </c>
      <c r="O12" s="32"/>
    </row>
    <row r="13" spans="1:15" ht="15.75" customHeight="1">
      <c r="A13" s="57" t="s">
        <v>39</v>
      </c>
      <c r="B13" s="19" t="s">
        <v>45</v>
      </c>
      <c r="C13" s="22">
        <v>2948</v>
      </c>
      <c r="D13" s="22">
        <v>0</v>
      </c>
      <c r="E13" s="22">
        <v>526</v>
      </c>
      <c r="F13" s="22">
        <v>850</v>
      </c>
      <c r="G13" s="22">
        <v>573</v>
      </c>
      <c r="H13" s="22">
        <v>368</v>
      </c>
      <c r="I13" s="22">
        <v>228</v>
      </c>
      <c r="J13" s="25">
        <v>160</v>
      </c>
      <c r="K13" s="22">
        <v>105</v>
      </c>
      <c r="L13" s="27">
        <v>59</v>
      </c>
      <c r="M13" s="22">
        <v>45</v>
      </c>
      <c r="N13" s="31">
        <f t="shared" si="0"/>
        <v>34</v>
      </c>
      <c r="O13" s="32"/>
    </row>
    <row r="14" spans="1:15" ht="15.75" customHeight="1">
      <c r="A14" s="57"/>
      <c r="B14" s="19" t="s">
        <v>46</v>
      </c>
      <c r="C14" s="22">
        <v>1484</v>
      </c>
      <c r="D14" s="22">
        <v>0</v>
      </c>
      <c r="E14" s="22">
        <v>247</v>
      </c>
      <c r="F14" s="22">
        <v>400</v>
      </c>
      <c r="G14" s="22">
        <v>276</v>
      </c>
      <c r="H14" s="22">
        <v>175</v>
      </c>
      <c r="I14" s="22">
        <v>127</v>
      </c>
      <c r="J14" s="25">
        <v>85</v>
      </c>
      <c r="K14" s="22">
        <v>67</v>
      </c>
      <c r="L14" s="27">
        <v>39</v>
      </c>
      <c r="M14" s="22">
        <v>37</v>
      </c>
      <c r="N14" s="31">
        <f t="shared" si="0"/>
        <v>31</v>
      </c>
      <c r="O14" s="32"/>
    </row>
    <row r="15" spans="1:15" ht="15.75" customHeight="1">
      <c r="A15" s="57"/>
      <c r="B15" s="19" t="s">
        <v>47</v>
      </c>
      <c r="C15" s="22">
        <v>1464</v>
      </c>
      <c r="D15" s="22">
        <v>0</v>
      </c>
      <c r="E15" s="22">
        <v>279</v>
      </c>
      <c r="F15" s="22">
        <v>450</v>
      </c>
      <c r="G15" s="22">
        <v>297</v>
      </c>
      <c r="H15" s="22">
        <v>193</v>
      </c>
      <c r="I15" s="22">
        <v>101</v>
      </c>
      <c r="J15" s="25">
        <v>75</v>
      </c>
      <c r="K15" s="22">
        <v>38</v>
      </c>
      <c r="L15" s="27">
        <v>20</v>
      </c>
      <c r="M15" s="22">
        <v>8</v>
      </c>
      <c r="N15" s="31">
        <f t="shared" si="0"/>
        <v>3</v>
      </c>
      <c r="O15" s="32"/>
    </row>
    <row r="16" spans="1:15" ht="15.75" customHeight="1">
      <c r="A16" s="57" t="s">
        <v>40</v>
      </c>
      <c r="B16" s="19" t="s">
        <v>45</v>
      </c>
      <c r="C16" s="22">
        <v>1496</v>
      </c>
      <c r="D16" s="22">
        <v>0</v>
      </c>
      <c r="E16" s="22">
        <v>83</v>
      </c>
      <c r="F16" s="22">
        <v>64</v>
      </c>
      <c r="G16" s="22">
        <v>156</v>
      </c>
      <c r="H16" s="22">
        <v>312</v>
      </c>
      <c r="I16" s="22">
        <v>273</v>
      </c>
      <c r="J16" s="25">
        <v>190</v>
      </c>
      <c r="K16" s="22">
        <v>152</v>
      </c>
      <c r="L16" s="27">
        <v>111</v>
      </c>
      <c r="M16" s="22">
        <v>75</v>
      </c>
      <c r="N16" s="31">
        <f t="shared" si="0"/>
        <v>80</v>
      </c>
      <c r="O16" s="32"/>
    </row>
    <row r="17" spans="1:15" ht="15.75" customHeight="1">
      <c r="A17" s="57"/>
      <c r="B17" s="19" t="s">
        <v>46</v>
      </c>
      <c r="C17" s="22">
        <v>925</v>
      </c>
      <c r="D17" s="22">
        <v>0</v>
      </c>
      <c r="E17" s="22">
        <v>52</v>
      </c>
      <c r="F17" s="22">
        <v>41</v>
      </c>
      <c r="G17" s="22">
        <v>73</v>
      </c>
      <c r="H17" s="22">
        <v>161</v>
      </c>
      <c r="I17" s="22">
        <v>141</v>
      </c>
      <c r="J17" s="25">
        <v>128</v>
      </c>
      <c r="K17" s="22">
        <v>112</v>
      </c>
      <c r="L17" s="27">
        <v>90</v>
      </c>
      <c r="M17" s="22">
        <v>61</v>
      </c>
      <c r="N17" s="31">
        <f t="shared" si="0"/>
        <v>66</v>
      </c>
      <c r="O17" s="32"/>
    </row>
    <row r="18" spans="1:15" ht="15.75" customHeight="1">
      <c r="A18" s="57"/>
      <c r="B18" s="19" t="s">
        <v>47</v>
      </c>
      <c r="C18" s="22">
        <v>571</v>
      </c>
      <c r="D18" s="22">
        <v>0</v>
      </c>
      <c r="E18" s="22">
        <v>31</v>
      </c>
      <c r="F18" s="22">
        <v>23</v>
      </c>
      <c r="G18" s="22">
        <v>83</v>
      </c>
      <c r="H18" s="22">
        <v>151</v>
      </c>
      <c r="I18" s="22">
        <v>132</v>
      </c>
      <c r="J18" s="25">
        <v>62</v>
      </c>
      <c r="K18" s="22">
        <v>40</v>
      </c>
      <c r="L18" s="27">
        <v>21</v>
      </c>
      <c r="M18" s="22">
        <v>14</v>
      </c>
      <c r="N18" s="31">
        <f t="shared" si="0"/>
        <v>14</v>
      </c>
      <c r="O18" s="32"/>
    </row>
    <row r="19" spans="1:15" ht="15.75" customHeight="1">
      <c r="A19" s="57" t="s">
        <v>41</v>
      </c>
      <c r="B19" s="19" t="s">
        <v>45</v>
      </c>
      <c r="C19" s="22">
        <v>6168</v>
      </c>
      <c r="D19" s="22">
        <v>462</v>
      </c>
      <c r="E19" s="22">
        <v>885</v>
      </c>
      <c r="F19" s="22">
        <v>380</v>
      </c>
      <c r="G19" s="22">
        <v>571</v>
      </c>
      <c r="H19" s="22">
        <v>660</v>
      </c>
      <c r="I19" s="22">
        <v>674</v>
      </c>
      <c r="J19" s="25">
        <v>790</v>
      </c>
      <c r="K19" s="22">
        <v>772</v>
      </c>
      <c r="L19" s="27">
        <v>533</v>
      </c>
      <c r="M19" s="22">
        <v>215</v>
      </c>
      <c r="N19" s="31">
        <f t="shared" si="0"/>
        <v>226</v>
      </c>
      <c r="O19" s="32"/>
    </row>
    <row r="20" spans="1:15" ht="15.75" customHeight="1">
      <c r="A20" s="57"/>
      <c r="B20" s="19" t="s">
        <v>46</v>
      </c>
      <c r="C20" s="22">
        <v>3536</v>
      </c>
      <c r="D20" s="22">
        <v>242</v>
      </c>
      <c r="E20" s="22">
        <v>492</v>
      </c>
      <c r="F20" s="22">
        <v>221</v>
      </c>
      <c r="G20" s="22">
        <v>329</v>
      </c>
      <c r="H20" s="22">
        <v>348</v>
      </c>
      <c r="I20" s="22">
        <v>347</v>
      </c>
      <c r="J20" s="25">
        <v>403</v>
      </c>
      <c r="K20" s="22">
        <v>456</v>
      </c>
      <c r="L20" s="27">
        <v>351</v>
      </c>
      <c r="M20" s="22">
        <v>157</v>
      </c>
      <c r="N20" s="31">
        <f t="shared" si="0"/>
        <v>190</v>
      </c>
      <c r="O20" s="32"/>
    </row>
    <row r="21" spans="1:15" ht="15.75" customHeight="1">
      <c r="A21" s="57"/>
      <c r="B21" s="19" t="s">
        <v>47</v>
      </c>
      <c r="C21" s="22">
        <v>2632</v>
      </c>
      <c r="D21" s="22">
        <v>220</v>
      </c>
      <c r="E21" s="22">
        <v>393</v>
      </c>
      <c r="F21" s="22">
        <v>159</v>
      </c>
      <c r="G21" s="22">
        <v>242</v>
      </c>
      <c r="H21" s="22">
        <v>312</v>
      </c>
      <c r="I21" s="22">
        <v>327</v>
      </c>
      <c r="J21" s="25">
        <v>387</v>
      </c>
      <c r="K21" s="22">
        <v>316</v>
      </c>
      <c r="L21" s="27">
        <v>182</v>
      </c>
      <c r="M21" s="22">
        <v>58</v>
      </c>
      <c r="N21" s="31">
        <f t="shared" si="0"/>
        <v>36</v>
      </c>
      <c r="O21" s="32"/>
    </row>
    <row r="22" spans="1:15" ht="15.75" customHeight="1">
      <c r="A22" s="57" t="s">
        <v>43</v>
      </c>
      <c r="B22" s="19" t="s">
        <v>45</v>
      </c>
      <c r="C22" s="22">
        <v>3585</v>
      </c>
      <c r="D22" s="22">
        <v>788</v>
      </c>
      <c r="E22" s="22">
        <v>58</v>
      </c>
      <c r="F22" s="22">
        <v>116</v>
      </c>
      <c r="G22" s="22">
        <v>176</v>
      </c>
      <c r="H22" s="22">
        <v>179</v>
      </c>
      <c r="I22" s="22">
        <v>280</v>
      </c>
      <c r="J22" s="25">
        <v>464</v>
      </c>
      <c r="K22" s="22">
        <v>675</v>
      </c>
      <c r="L22" s="27">
        <v>430</v>
      </c>
      <c r="M22" s="22">
        <v>203</v>
      </c>
      <c r="N22" s="31">
        <f t="shared" si="0"/>
        <v>216</v>
      </c>
      <c r="O22" s="32"/>
    </row>
    <row r="23" spans="1:15" ht="15.75" customHeight="1">
      <c r="A23" s="57"/>
      <c r="B23" s="19" t="s">
        <v>46</v>
      </c>
      <c r="C23" s="22">
        <v>1914</v>
      </c>
      <c r="D23" s="22">
        <v>412</v>
      </c>
      <c r="E23" s="22">
        <v>33</v>
      </c>
      <c r="F23" s="22">
        <v>60</v>
      </c>
      <c r="G23" s="22">
        <v>97</v>
      </c>
      <c r="H23" s="22">
        <v>81</v>
      </c>
      <c r="I23" s="22">
        <v>148</v>
      </c>
      <c r="J23" s="25">
        <v>228</v>
      </c>
      <c r="K23" s="22">
        <v>364</v>
      </c>
      <c r="L23" s="27">
        <v>233</v>
      </c>
      <c r="M23" s="22">
        <v>110</v>
      </c>
      <c r="N23" s="31">
        <f t="shared" si="0"/>
        <v>148</v>
      </c>
      <c r="O23" s="32"/>
    </row>
    <row r="24" spans="1:15" ht="15.75" customHeight="1">
      <c r="A24" s="57"/>
      <c r="B24" s="19" t="s">
        <v>47</v>
      </c>
      <c r="C24" s="22">
        <v>1671</v>
      </c>
      <c r="D24" s="22">
        <v>376</v>
      </c>
      <c r="E24" s="22">
        <v>25</v>
      </c>
      <c r="F24" s="22">
        <v>56</v>
      </c>
      <c r="G24" s="22">
        <v>79</v>
      </c>
      <c r="H24" s="22">
        <v>98</v>
      </c>
      <c r="I24" s="22">
        <v>132</v>
      </c>
      <c r="J24" s="25">
        <v>236</v>
      </c>
      <c r="K24" s="22">
        <v>311</v>
      </c>
      <c r="L24" s="27">
        <v>197</v>
      </c>
      <c r="M24" s="22">
        <v>93</v>
      </c>
      <c r="N24" s="31">
        <f t="shared" si="0"/>
        <v>68</v>
      </c>
      <c r="O24" s="32"/>
    </row>
    <row r="25" spans="1:15" ht="15.75" customHeight="1">
      <c r="A25" s="57" t="s">
        <v>42</v>
      </c>
      <c r="B25" s="19" t="s">
        <v>45</v>
      </c>
      <c r="C25" s="22">
        <v>3359</v>
      </c>
      <c r="D25" s="22">
        <v>68</v>
      </c>
      <c r="E25" s="22">
        <v>0</v>
      </c>
      <c r="F25" s="22">
        <v>9</v>
      </c>
      <c r="G25" s="22">
        <v>15</v>
      </c>
      <c r="H25" s="22">
        <v>38</v>
      </c>
      <c r="I25" s="22">
        <v>32</v>
      </c>
      <c r="J25" s="25">
        <v>70</v>
      </c>
      <c r="K25" s="22">
        <v>230</v>
      </c>
      <c r="L25" s="27">
        <v>459</v>
      </c>
      <c r="M25" s="22">
        <v>713</v>
      </c>
      <c r="N25" s="31">
        <f t="shared" si="0"/>
        <v>1725</v>
      </c>
      <c r="O25" s="32"/>
    </row>
    <row r="26" spans="1:15" ht="15.75" customHeight="1">
      <c r="A26" s="57"/>
      <c r="B26" s="19" t="s">
        <v>46</v>
      </c>
      <c r="C26" s="22">
        <v>1485</v>
      </c>
      <c r="D26" s="22">
        <v>29</v>
      </c>
      <c r="E26" s="22">
        <v>0</v>
      </c>
      <c r="F26" s="22">
        <v>1</v>
      </c>
      <c r="G26" s="22">
        <v>0</v>
      </c>
      <c r="H26" s="22">
        <v>5</v>
      </c>
      <c r="I26" s="22">
        <v>14</v>
      </c>
      <c r="J26" s="25">
        <v>27</v>
      </c>
      <c r="K26" s="22">
        <v>65</v>
      </c>
      <c r="L26" s="27">
        <v>146</v>
      </c>
      <c r="M26" s="22">
        <v>305</v>
      </c>
      <c r="N26" s="31">
        <f t="shared" si="0"/>
        <v>893</v>
      </c>
      <c r="O26" s="32"/>
    </row>
    <row r="27" spans="1:15" ht="15.75" customHeight="1">
      <c r="A27" s="57"/>
      <c r="B27" s="19" t="s">
        <v>47</v>
      </c>
      <c r="C27" s="22">
        <v>1874</v>
      </c>
      <c r="D27" s="22">
        <v>39</v>
      </c>
      <c r="E27" s="22">
        <v>0</v>
      </c>
      <c r="F27" s="22">
        <v>8</v>
      </c>
      <c r="G27" s="22">
        <v>15</v>
      </c>
      <c r="H27" s="22">
        <v>33</v>
      </c>
      <c r="I27" s="22">
        <v>18</v>
      </c>
      <c r="J27" s="25">
        <v>43</v>
      </c>
      <c r="K27" s="22">
        <v>165</v>
      </c>
      <c r="L27" s="27">
        <v>313</v>
      </c>
      <c r="M27" s="22">
        <v>408</v>
      </c>
      <c r="N27" s="31">
        <f t="shared" si="0"/>
        <v>832</v>
      </c>
      <c r="O27" s="32"/>
    </row>
    <row r="28" spans="1:15" ht="15.75" customHeight="1">
      <c r="A28" s="57" t="s">
        <v>4</v>
      </c>
      <c r="B28" s="19" t="s">
        <v>45</v>
      </c>
      <c r="C28" s="22">
        <v>746</v>
      </c>
      <c r="D28" s="22">
        <v>1</v>
      </c>
      <c r="E28" s="22">
        <v>0</v>
      </c>
      <c r="F28" s="22">
        <v>5</v>
      </c>
      <c r="G28" s="22">
        <v>10</v>
      </c>
      <c r="H28" s="22">
        <v>3</v>
      </c>
      <c r="I28" s="22">
        <v>3</v>
      </c>
      <c r="J28" s="25">
        <v>2</v>
      </c>
      <c r="K28" s="22">
        <v>16</v>
      </c>
      <c r="L28" s="27">
        <v>52</v>
      </c>
      <c r="M28" s="22">
        <v>92</v>
      </c>
      <c r="N28" s="31">
        <f t="shared" si="0"/>
        <v>562</v>
      </c>
      <c r="O28" s="32"/>
    </row>
    <row r="29" spans="1:15" ht="15.75" customHeight="1">
      <c r="A29" s="57"/>
      <c r="B29" s="19" t="s">
        <v>46</v>
      </c>
      <c r="C29" s="22">
        <v>264</v>
      </c>
      <c r="D29" s="22">
        <v>1</v>
      </c>
      <c r="E29" s="22">
        <v>0</v>
      </c>
      <c r="F29" s="22">
        <v>0</v>
      </c>
      <c r="G29" s="22">
        <v>0</v>
      </c>
      <c r="H29" s="22">
        <v>0</v>
      </c>
      <c r="I29" s="22">
        <v>1</v>
      </c>
      <c r="J29" s="25">
        <v>1</v>
      </c>
      <c r="K29" s="22">
        <v>4</v>
      </c>
      <c r="L29" s="27">
        <v>12</v>
      </c>
      <c r="M29" s="22">
        <v>21</v>
      </c>
      <c r="N29" s="31">
        <f t="shared" si="0"/>
        <v>224</v>
      </c>
      <c r="O29" s="32"/>
    </row>
    <row r="30" spans="1:15" ht="15.75" customHeight="1">
      <c r="A30" s="57"/>
      <c r="B30" s="19" t="s">
        <v>47</v>
      </c>
      <c r="C30" s="22">
        <v>482</v>
      </c>
      <c r="D30" s="22">
        <v>0</v>
      </c>
      <c r="E30" s="22">
        <v>0</v>
      </c>
      <c r="F30" s="22">
        <v>5</v>
      </c>
      <c r="G30" s="22">
        <v>10</v>
      </c>
      <c r="H30" s="22">
        <v>3</v>
      </c>
      <c r="I30" s="22">
        <v>2</v>
      </c>
      <c r="J30" s="25">
        <v>1</v>
      </c>
      <c r="K30" s="22">
        <v>12</v>
      </c>
      <c r="L30" s="27">
        <v>40</v>
      </c>
      <c r="M30" s="22">
        <v>71</v>
      </c>
      <c r="N30" s="31">
        <f t="shared" si="0"/>
        <v>338</v>
      </c>
      <c r="O30" s="32"/>
    </row>
    <row r="31" spans="1:15" ht="15.75" customHeight="1">
      <c r="A31" s="57" t="s">
        <v>5</v>
      </c>
      <c r="B31" s="19" t="s">
        <v>45</v>
      </c>
      <c r="C31" s="22">
        <v>669</v>
      </c>
      <c r="D31" s="22">
        <v>0</v>
      </c>
      <c r="E31" s="22">
        <v>0</v>
      </c>
      <c r="F31" s="22">
        <v>0</v>
      </c>
      <c r="G31" s="22">
        <v>0</v>
      </c>
      <c r="H31" s="22">
        <v>2</v>
      </c>
      <c r="I31" s="22">
        <v>2</v>
      </c>
      <c r="J31" s="25">
        <v>4</v>
      </c>
      <c r="K31" s="22">
        <v>8</v>
      </c>
      <c r="L31" s="27">
        <v>26</v>
      </c>
      <c r="M31" s="22">
        <v>50</v>
      </c>
      <c r="N31" s="31">
        <f t="shared" si="0"/>
        <v>577</v>
      </c>
      <c r="O31" s="32"/>
    </row>
    <row r="32" spans="1:15" ht="15.75" customHeight="1">
      <c r="A32" s="57"/>
      <c r="B32" s="19" t="s">
        <v>46</v>
      </c>
      <c r="C32" s="22">
        <v>47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5">
        <v>0</v>
      </c>
      <c r="K32" s="22">
        <v>2</v>
      </c>
      <c r="L32" s="27">
        <v>3</v>
      </c>
      <c r="M32" s="22">
        <v>10</v>
      </c>
      <c r="N32" s="31">
        <f t="shared" si="0"/>
        <v>32</v>
      </c>
      <c r="O32" s="32"/>
    </row>
    <row r="33" spans="1:15" ht="15.75" customHeight="1">
      <c r="A33" s="59"/>
      <c r="B33" s="20" t="s">
        <v>47</v>
      </c>
      <c r="C33" s="23">
        <v>622</v>
      </c>
      <c r="D33" s="23">
        <v>0</v>
      </c>
      <c r="E33" s="23">
        <v>0</v>
      </c>
      <c r="F33" s="23">
        <v>0</v>
      </c>
      <c r="G33" s="23">
        <v>0</v>
      </c>
      <c r="H33" s="23">
        <v>2</v>
      </c>
      <c r="I33" s="23">
        <v>2</v>
      </c>
      <c r="J33" s="26">
        <v>4</v>
      </c>
      <c r="K33" s="23">
        <v>6</v>
      </c>
      <c r="L33" s="28">
        <v>23</v>
      </c>
      <c r="M33" s="23">
        <v>40</v>
      </c>
      <c r="N33" s="34">
        <f t="shared" si="0"/>
        <v>545</v>
      </c>
      <c r="O33" s="32"/>
    </row>
    <row r="34" spans="1:15" s="2" customFormat="1" ht="19.5" customHeight="1">
      <c r="A34" s="3" t="s">
        <v>32</v>
      </c>
      <c r="B34" s="3"/>
      <c r="C34" s="3"/>
      <c r="D34" s="4"/>
      <c r="E34" s="5"/>
      <c r="F34" s="5"/>
      <c r="G34" s="5"/>
      <c r="H34" s="5"/>
      <c r="I34" s="5"/>
      <c r="J34" s="5" t="s">
        <v>36</v>
      </c>
      <c r="K34" s="5"/>
      <c r="L34" s="5"/>
      <c r="M34" s="6"/>
      <c r="O34" s="7"/>
    </row>
  </sheetData>
  <sheetProtection/>
  <mergeCells count="13">
    <mergeCell ref="A28:A30"/>
    <mergeCell ref="A31:A33"/>
    <mergeCell ref="A16:A18"/>
    <mergeCell ref="A19:A21"/>
    <mergeCell ref="A22:A24"/>
    <mergeCell ref="A25:A27"/>
    <mergeCell ref="A13:A15"/>
    <mergeCell ref="A4:A6"/>
    <mergeCell ref="A1:N1"/>
    <mergeCell ref="F2:J2"/>
    <mergeCell ref="K2:L2"/>
    <mergeCell ref="A7:A9"/>
    <mergeCell ref="A10:A1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A20" sqref="A20"/>
    </sheetView>
  </sheetViews>
  <sheetFormatPr defaultColWidth="9.00390625" defaultRowHeight="28.5" customHeight="1"/>
  <cols>
    <col min="1" max="1" width="11.00390625" style="2" customWidth="1"/>
    <col min="2" max="2" width="10.00390625" style="2" customWidth="1"/>
    <col min="3" max="6" width="10.00390625" style="8" customWidth="1"/>
    <col min="7" max="12" width="10.00390625" style="2" customWidth="1"/>
    <col min="13" max="13" width="10.00390625" style="48" customWidth="1"/>
    <col min="14" max="16384" width="9.00390625" style="2" customWidth="1"/>
  </cols>
  <sheetData>
    <row r="1" spans="1:13" s="7" customFormat="1" ht="28.5" customHeight="1">
      <c r="A1" s="62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3" s="7" customFormat="1" ht="28.5" customHeight="1">
      <c r="B2" s="9"/>
      <c r="C2" s="9"/>
      <c r="D2" s="9"/>
      <c r="E2" s="9" t="s">
        <v>33</v>
      </c>
      <c r="F2" s="9"/>
      <c r="G2" s="9"/>
      <c r="H2" s="9"/>
      <c r="I2" s="9"/>
      <c r="J2" s="9"/>
      <c r="K2" s="9"/>
      <c r="L2" s="9" t="s">
        <v>15</v>
      </c>
      <c r="M2" s="44"/>
    </row>
    <row r="3" spans="1:13" s="7" customFormat="1" ht="28.5" customHeight="1">
      <c r="A3" s="64" t="s">
        <v>18</v>
      </c>
      <c r="B3" s="61" t="s">
        <v>17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7"/>
    </row>
    <row r="4" spans="1:13" s="7" customFormat="1" ht="28.5" customHeight="1">
      <c r="A4" s="65"/>
      <c r="B4" s="61" t="s">
        <v>0</v>
      </c>
      <c r="C4" s="60"/>
      <c r="D4" s="60"/>
      <c r="E4" s="60"/>
      <c r="F4" s="60" t="s">
        <v>1</v>
      </c>
      <c r="G4" s="60"/>
      <c r="H4" s="60" t="s">
        <v>2</v>
      </c>
      <c r="I4" s="60"/>
      <c r="J4" s="60" t="s">
        <v>3</v>
      </c>
      <c r="K4" s="60" t="s">
        <v>4</v>
      </c>
      <c r="L4" s="60" t="s">
        <v>5</v>
      </c>
      <c r="M4" s="68" t="s">
        <v>6</v>
      </c>
    </row>
    <row r="5" spans="1:13" s="7" customFormat="1" ht="28.5" customHeight="1">
      <c r="A5" s="65"/>
      <c r="B5" s="61" t="s">
        <v>7</v>
      </c>
      <c r="C5" s="60"/>
      <c r="D5" s="60" t="s">
        <v>8</v>
      </c>
      <c r="E5" s="60" t="s">
        <v>9</v>
      </c>
      <c r="F5" s="60" t="s">
        <v>10</v>
      </c>
      <c r="G5" s="60" t="s">
        <v>11</v>
      </c>
      <c r="H5" s="60" t="s">
        <v>2</v>
      </c>
      <c r="I5" s="60" t="s">
        <v>12</v>
      </c>
      <c r="J5" s="61"/>
      <c r="K5" s="60"/>
      <c r="L5" s="60"/>
      <c r="M5" s="68"/>
    </row>
    <row r="6" spans="1:13" s="7" customFormat="1" ht="28.5" customHeight="1">
      <c r="A6" s="66"/>
      <c r="B6" s="35" t="s">
        <v>13</v>
      </c>
      <c r="C6" s="1" t="s">
        <v>14</v>
      </c>
      <c r="D6" s="60"/>
      <c r="E6" s="60"/>
      <c r="F6" s="60"/>
      <c r="G6" s="60"/>
      <c r="H6" s="60"/>
      <c r="I6" s="60"/>
      <c r="J6" s="61"/>
      <c r="K6" s="60"/>
      <c r="L6" s="60"/>
      <c r="M6" s="68"/>
    </row>
    <row r="7" spans="1:13" s="52" customFormat="1" ht="28.5" customHeight="1">
      <c r="A7" s="49" t="s">
        <v>20</v>
      </c>
      <c r="B7" s="50">
        <f>SUM(B8:B18)</f>
        <v>13</v>
      </c>
      <c r="C7" s="50">
        <f aca="true" t="shared" si="0" ref="C7:L7">SUM(C8:C18)</f>
        <v>409</v>
      </c>
      <c r="D7" s="50">
        <f t="shared" si="0"/>
        <v>2792</v>
      </c>
      <c r="E7" s="50">
        <f t="shared" si="0"/>
        <v>1490</v>
      </c>
      <c r="F7" s="50">
        <f t="shared" si="0"/>
        <v>1798</v>
      </c>
      <c r="G7" s="50">
        <f t="shared" si="0"/>
        <v>4333</v>
      </c>
      <c r="H7" s="50">
        <f t="shared" si="0"/>
        <v>3605</v>
      </c>
      <c r="I7" s="51">
        <f t="shared" si="0"/>
        <v>55</v>
      </c>
      <c r="J7" s="50">
        <f t="shared" si="0"/>
        <v>4180</v>
      </c>
      <c r="K7" s="50">
        <f t="shared" si="0"/>
        <v>42</v>
      </c>
      <c r="L7" s="50">
        <f t="shared" si="0"/>
        <v>727</v>
      </c>
      <c r="M7" s="45">
        <f>SUM(B7:L7)</f>
        <v>19444</v>
      </c>
    </row>
    <row r="8" spans="1:13" s="7" customFormat="1" ht="28.5" customHeight="1">
      <c r="A8" s="36" t="s">
        <v>19</v>
      </c>
      <c r="B8" s="38">
        <v>0</v>
      </c>
      <c r="C8" s="40">
        <v>0</v>
      </c>
      <c r="D8" s="40">
        <v>0</v>
      </c>
      <c r="E8" s="40">
        <v>0</v>
      </c>
      <c r="F8" s="42">
        <f>319+18</f>
        <v>337</v>
      </c>
      <c r="G8" s="40">
        <f>16+25+90</f>
        <v>131</v>
      </c>
      <c r="H8" s="40">
        <f>73+320+421+35</f>
        <v>849</v>
      </c>
      <c r="I8" s="40">
        <v>0</v>
      </c>
      <c r="J8" s="42">
        <v>57</v>
      </c>
      <c r="K8" s="38">
        <v>0</v>
      </c>
      <c r="L8" s="38">
        <v>0</v>
      </c>
      <c r="M8" s="45">
        <f>SUM(B8:L8)</f>
        <v>1374</v>
      </c>
    </row>
    <row r="9" spans="1:13" s="7" customFormat="1" ht="28.5" customHeight="1">
      <c r="A9" s="36" t="s">
        <v>21</v>
      </c>
      <c r="B9" s="38">
        <v>0</v>
      </c>
      <c r="C9" s="40">
        <v>9</v>
      </c>
      <c r="D9" s="40">
        <f>74+460</f>
        <v>534</v>
      </c>
      <c r="E9" s="40">
        <f>45+35</f>
        <v>80</v>
      </c>
      <c r="F9" s="42">
        <f>607+26</f>
        <v>633</v>
      </c>
      <c r="G9" s="40">
        <f>33+1+216</f>
        <v>250</v>
      </c>
      <c r="H9" s="40">
        <f>6+4+45+12</f>
        <v>67</v>
      </c>
      <c r="I9" s="40">
        <v>0</v>
      </c>
      <c r="J9" s="42">
        <v>3</v>
      </c>
      <c r="K9" s="38">
        <v>0</v>
      </c>
      <c r="L9" s="38">
        <v>0</v>
      </c>
      <c r="M9" s="45">
        <f aca="true" t="shared" si="1" ref="M9:M18">SUM(B9:L9)</f>
        <v>1576</v>
      </c>
    </row>
    <row r="10" spans="1:13" s="7" customFormat="1" ht="28.5" customHeight="1">
      <c r="A10" s="36" t="s">
        <v>22</v>
      </c>
      <c r="B10" s="38">
        <v>0</v>
      </c>
      <c r="C10" s="40">
        <v>109</v>
      </c>
      <c r="D10" s="40">
        <f>42+771</f>
        <v>813</v>
      </c>
      <c r="E10" s="40">
        <f>60+13</f>
        <v>73</v>
      </c>
      <c r="F10" s="42">
        <f>100+34</f>
        <v>134</v>
      </c>
      <c r="G10" s="40">
        <f>34+250</f>
        <v>284</v>
      </c>
      <c r="H10" s="40">
        <f>7+9+92+38</f>
        <v>146</v>
      </c>
      <c r="I10" s="40">
        <v>0</v>
      </c>
      <c r="J10" s="42">
        <v>15</v>
      </c>
      <c r="K10" s="38">
        <v>0</v>
      </c>
      <c r="L10" s="38">
        <v>0</v>
      </c>
      <c r="M10" s="45">
        <f t="shared" si="1"/>
        <v>1574</v>
      </c>
    </row>
    <row r="11" spans="1:13" s="7" customFormat="1" ht="28.5" customHeight="1">
      <c r="A11" s="36" t="s">
        <v>23</v>
      </c>
      <c r="B11" s="38">
        <v>2</v>
      </c>
      <c r="C11" s="40">
        <v>104</v>
      </c>
      <c r="D11" s="40">
        <f>28+500</f>
        <v>528</v>
      </c>
      <c r="E11" s="40">
        <f>146+49</f>
        <v>195</v>
      </c>
      <c r="F11" s="42">
        <f>56+32</f>
        <v>88</v>
      </c>
      <c r="G11" s="40">
        <f>43+11+480</f>
        <v>534</v>
      </c>
      <c r="H11" s="40">
        <f>12+71+72</f>
        <v>155</v>
      </c>
      <c r="I11" s="40">
        <v>0</v>
      </c>
      <c r="J11" s="42">
        <f>7+12+11</f>
        <v>30</v>
      </c>
      <c r="K11" s="38">
        <v>0</v>
      </c>
      <c r="L11" s="38">
        <v>0</v>
      </c>
      <c r="M11" s="45">
        <f t="shared" si="1"/>
        <v>1636</v>
      </c>
    </row>
    <row r="12" spans="1:13" s="7" customFormat="1" ht="28.5" customHeight="1">
      <c r="A12" s="36" t="s">
        <v>24</v>
      </c>
      <c r="B12" s="38">
        <v>1</v>
      </c>
      <c r="C12" s="40">
        <v>67</v>
      </c>
      <c r="D12" s="40">
        <f>22+322</f>
        <v>344</v>
      </c>
      <c r="E12" s="40">
        <f>230+88</f>
        <v>318</v>
      </c>
      <c r="F12" s="42">
        <f>21+71</f>
        <v>92</v>
      </c>
      <c r="G12" s="40">
        <f>18+6+533</f>
        <v>557</v>
      </c>
      <c r="H12" s="40">
        <f>16+27+159</f>
        <v>202</v>
      </c>
      <c r="I12" s="40">
        <v>0</v>
      </c>
      <c r="J12" s="42">
        <f>11+23+4</f>
        <v>38</v>
      </c>
      <c r="K12" s="38">
        <v>0</v>
      </c>
      <c r="L12" s="38">
        <v>2</v>
      </c>
      <c r="M12" s="45">
        <f t="shared" si="1"/>
        <v>1621</v>
      </c>
    </row>
    <row r="13" spans="1:13" s="7" customFormat="1" ht="28.5" customHeight="1">
      <c r="A13" s="36" t="s">
        <v>25</v>
      </c>
      <c r="B13" s="38">
        <v>3</v>
      </c>
      <c r="C13" s="40">
        <v>41</v>
      </c>
      <c r="D13" s="40">
        <v>206</v>
      </c>
      <c r="E13" s="40">
        <f>159+104</f>
        <v>263</v>
      </c>
      <c r="F13" s="42">
        <f>18+102</f>
        <v>120</v>
      </c>
      <c r="G13" s="40">
        <f>11+6+563</f>
        <v>580</v>
      </c>
      <c r="H13" s="40">
        <f>16+37+250</f>
        <v>303</v>
      </c>
      <c r="I13" s="40">
        <v>0</v>
      </c>
      <c r="J13" s="42">
        <f>17+22+2</f>
        <v>41</v>
      </c>
      <c r="K13" s="38">
        <v>0</v>
      </c>
      <c r="L13" s="38">
        <v>3</v>
      </c>
      <c r="M13" s="45">
        <f t="shared" si="1"/>
        <v>1560</v>
      </c>
    </row>
    <row r="14" spans="1:13" s="7" customFormat="1" ht="28.5" customHeight="1">
      <c r="A14" s="36" t="s">
        <v>26</v>
      </c>
      <c r="B14" s="38">
        <v>2</v>
      </c>
      <c r="C14" s="40">
        <v>39</v>
      </c>
      <c r="D14" s="40">
        <f>16+124</f>
        <v>140</v>
      </c>
      <c r="E14" s="40">
        <f>98+83</f>
        <v>181</v>
      </c>
      <c r="F14" s="42">
        <f>13+107</f>
        <v>120</v>
      </c>
      <c r="G14" s="40">
        <f>16+693</f>
        <v>709</v>
      </c>
      <c r="H14" s="40">
        <f>14+41+476</f>
        <v>531</v>
      </c>
      <c r="I14" s="40">
        <v>0</v>
      </c>
      <c r="J14" s="42">
        <f>17+75+3</f>
        <v>95</v>
      </c>
      <c r="K14" s="38">
        <v>0</v>
      </c>
      <c r="L14" s="38">
        <v>3</v>
      </c>
      <c r="M14" s="45">
        <f t="shared" si="1"/>
        <v>1820</v>
      </c>
    </row>
    <row r="15" spans="1:13" s="7" customFormat="1" ht="28.5" customHeight="1">
      <c r="A15" s="36" t="s">
        <v>27</v>
      </c>
      <c r="B15" s="38">
        <v>2</v>
      </c>
      <c r="C15" s="40">
        <v>23</v>
      </c>
      <c r="D15" s="40">
        <v>100</v>
      </c>
      <c r="E15" s="40">
        <f>67+79</f>
        <v>146</v>
      </c>
      <c r="F15" s="42">
        <f>4+76</f>
        <v>80</v>
      </c>
      <c r="G15" s="40">
        <f>10+639</f>
        <v>649</v>
      </c>
      <c r="H15" s="40">
        <f>18+52+589</f>
        <v>659</v>
      </c>
      <c r="I15" s="40">
        <v>0</v>
      </c>
      <c r="J15" s="42">
        <f>21+238+22</f>
        <v>281</v>
      </c>
      <c r="K15" s="38">
        <v>2</v>
      </c>
      <c r="L15" s="38">
        <v>12</v>
      </c>
      <c r="M15" s="45">
        <f t="shared" si="1"/>
        <v>1954</v>
      </c>
    </row>
    <row r="16" spans="1:13" s="7" customFormat="1" ht="28.5" customHeight="1">
      <c r="A16" s="36" t="s">
        <v>28</v>
      </c>
      <c r="B16" s="38">
        <v>2</v>
      </c>
      <c r="C16" s="40">
        <v>10</v>
      </c>
      <c r="D16" s="40">
        <v>60</v>
      </c>
      <c r="E16" s="40">
        <f>35+63</f>
        <v>98</v>
      </c>
      <c r="F16" s="42">
        <f>3+73</f>
        <v>76</v>
      </c>
      <c r="G16" s="40">
        <f>8+359</f>
        <v>367</v>
      </c>
      <c r="H16" s="40">
        <f>8+24+327</f>
        <v>359</v>
      </c>
      <c r="I16" s="40">
        <v>3</v>
      </c>
      <c r="J16" s="42">
        <f>28+3+495+63</f>
        <v>589</v>
      </c>
      <c r="K16" s="38">
        <v>3</v>
      </c>
      <c r="L16" s="38">
        <v>30</v>
      </c>
      <c r="M16" s="45">
        <f t="shared" si="1"/>
        <v>1597</v>
      </c>
    </row>
    <row r="17" spans="1:13" s="7" customFormat="1" ht="28.5" customHeight="1">
      <c r="A17" s="36" t="s">
        <v>29</v>
      </c>
      <c r="B17" s="38">
        <v>1</v>
      </c>
      <c r="C17" s="40">
        <v>6</v>
      </c>
      <c r="D17" s="40">
        <v>35</v>
      </c>
      <c r="E17" s="40">
        <f>12+53</f>
        <v>65</v>
      </c>
      <c r="F17" s="42">
        <v>44</v>
      </c>
      <c r="G17" s="40">
        <f>6+131</f>
        <v>137</v>
      </c>
      <c r="H17" s="40">
        <f>6+10+159</f>
        <v>175</v>
      </c>
      <c r="I17" s="40">
        <v>17</v>
      </c>
      <c r="J17" s="42">
        <f>51+3+673+90</f>
        <v>817</v>
      </c>
      <c r="K17" s="38">
        <v>3</v>
      </c>
      <c r="L17" s="38">
        <v>66</v>
      </c>
      <c r="M17" s="45">
        <f t="shared" si="1"/>
        <v>1366</v>
      </c>
    </row>
    <row r="18" spans="1:13" s="7" customFormat="1" ht="28.5" customHeight="1">
      <c r="A18" s="37" t="s">
        <v>30</v>
      </c>
      <c r="B18" s="39">
        <v>0</v>
      </c>
      <c r="C18" s="41">
        <v>1</v>
      </c>
      <c r="D18" s="41">
        <v>32</v>
      </c>
      <c r="E18" s="41">
        <f>43+28</f>
        <v>71</v>
      </c>
      <c r="F18" s="43">
        <f>74</f>
        <v>74</v>
      </c>
      <c r="G18" s="41">
        <f>6+129</f>
        <v>135</v>
      </c>
      <c r="H18" s="41">
        <f>7+6+146</f>
        <v>159</v>
      </c>
      <c r="I18" s="41">
        <v>35</v>
      </c>
      <c r="J18" s="43">
        <f>32+9+1640+533</f>
        <v>2214</v>
      </c>
      <c r="K18" s="39">
        <v>34</v>
      </c>
      <c r="L18" s="39">
        <v>611</v>
      </c>
      <c r="M18" s="46">
        <f t="shared" si="1"/>
        <v>3366</v>
      </c>
    </row>
    <row r="19" spans="1:13" s="7" customFormat="1" ht="28.5" customHeight="1">
      <c r="A19" s="17" t="s">
        <v>51</v>
      </c>
      <c r="B19" s="17"/>
      <c r="C19" s="17"/>
      <c r="D19" s="4"/>
      <c r="E19" s="5"/>
      <c r="F19" s="5"/>
      <c r="G19" s="5"/>
      <c r="H19" s="5"/>
      <c r="I19" s="5"/>
      <c r="J19" s="5" t="s">
        <v>36</v>
      </c>
      <c r="K19" s="5"/>
      <c r="L19" s="5"/>
      <c r="M19" s="47"/>
    </row>
    <row r="20" ht="28.5" customHeight="1">
      <c r="A20" s="7"/>
    </row>
  </sheetData>
  <sheetProtection/>
  <mergeCells count="17">
    <mergeCell ref="A1:M1"/>
    <mergeCell ref="A3:A6"/>
    <mergeCell ref="B3:M3"/>
    <mergeCell ref="B4:E4"/>
    <mergeCell ref="F4:G4"/>
    <mergeCell ref="H4:I4"/>
    <mergeCell ref="J4:J6"/>
    <mergeCell ref="K4:K6"/>
    <mergeCell ref="L4:L6"/>
    <mergeCell ref="M4:M6"/>
    <mergeCell ref="I5:I6"/>
    <mergeCell ref="B5:C5"/>
    <mergeCell ref="D5:D6"/>
    <mergeCell ref="E5:E6"/>
    <mergeCell ref="F5:F6"/>
    <mergeCell ref="G5:G6"/>
    <mergeCell ref="H5:H6"/>
  </mergeCells>
  <printOptions horizontalCentered="1"/>
  <pageMargins left="0" right="0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2022-01-17T02:01:34Z</cp:lastPrinted>
  <dcterms:created xsi:type="dcterms:W3CDTF">2014-11-06T02:05:51Z</dcterms:created>
  <dcterms:modified xsi:type="dcterms:W3CDTF">2022-01-17T02:30:43Z</dcterms:modified>
  <cp:category/>
  <cp:version/>
  <cp:contentType/>
  <cp:contentStatus/>
</cp:coreProperties>
</file>